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1700" windowHeight="6300" tabRatio="815" activeTab="0"/>
  </bookViews>
  <sheets>
    <sheet name="Intro" sheetId="1" r:id="rId1"/>
    <sheet name="USP" sheetId="2" r:id="rId2"/>
    <sheet name="Combat" sheetId="3" r:id="rId3"/>
    <sheet name="Econ" sheetId="4" r:id="rId4"/>
    <sheet name="Power" sheetId="5" r:id="rId5"/>
    <sheet name="Deckplans" sheetId="6" r:id="rId6"/>
    <sheet name="Design" sheetId="7" r:id="rId7"/>
    <sheet name="Las1" sheetId="8" r:id="rId8"/>
    <sheet name="Las2" sheetId="9" r:id="rId9"/>
    <sheet name="Las3" sheetId="10" r:id="rId10"/>
    <sheet name="Las4" sheetId="11" r:id="rId11"/>
    <sheet name="Mis1" sheetId="12" r:id="rId12"/>
    <sheet name="Mis2" sheetId="13" r:id="rId13"/>
    <sheet name="PA1" sheetId="14" r:id="rId14"/>
    <sheet name="PA2" sheetId="15" r:id="rId15"/>
    <sheet name="Mes1" sheetId="16" r:id="rId16"/>
    <sheet name="Mes2" sheetId="17" r:id="rId17"/>
    <sheet name="Tables" sheetId="18" r:id="rId18"/>
  </sheets>
  <definedNames>
    <definedName name="ActiveArrayTable">'Tables'!$D$206:$Z$220</definedName>
    <definedName name="ActiveJammerTable">'Tables'!$D$230:$Z$234</definedName>
    <definedName name="Area">'Tables'!$F$4</definedName>
    <definedName name="BeamPointerTable">'Tables'!$D$119:$Z$125</definedName>
    <definedName name="BGTable">'Tables'!$A$175:$B$184</definedName>
    <definedName name="CleanMass">'Tables'!$K$6</definedName>
    <definedName name="CM">'Tables'!$E$148</definedName>
    <definedName name="CombatUSDTable">'Tables'!$A$112:$B$137</definedName>
    <definedName name="ComputerTable">'Tables'!$D$137:$AA$147</definedName>
    <definedName name="CUSPPDTable">'Tables'!$A$140:$B$148</definedName>
    <definedName name="DesignHome">'Design'!$A$1</definedName>
    <definedName name="DesignTLs">'Design'!$D$19:$D$19,'Design'!$D$34:$D$34,'Design'!$D$36:$D$36,'Design'!$D$42:$D$44,'Design'!$D$46:$D$47,'Design'!$D$65:$D$79,'Design'!$D$82:$D$86,'Design'!$D$88:$D$91,'Design'!$D$94:$D$101,'Design'!$D$1:$D$104</definedName>
    <definedName name="IRSigTable">'Tables'!$D$540:$E$549</definedName>
    <definedName name="Las1TL">'Las1'!$D$7</definedName>
    <definedName name="Las2TL">'Las2'!$D$7</definedName>
    <definedName name="Las3TL">'Las3'!$D$7</definedName>
    <definedName name="Las4TL">'Las4'!$D$7</definedName>
    <definedName name="LaserCommoTable">'Tables'!$D$160:$Z$166</definedName>
    <definedName name="LIDARTable">'Tables'!$D$223:$Z$227</definedName>
    <definedName name="Mass">'Design'!$L$259</definedName>
    <definedName name="Mes1TL">'Mes1'!$D$7</definedName>
    <definedName name="Mes2TL">'Mes2'!$D$7</definedName>
    <definedName name="MesonCommoTable">'Tables'!$D$169:$Z$173</definedName>
    <definedName name="MFDTable">'Tables'!$D$128:$Z$134</definedName>
    <definedName name="MinimalPower">'Tables'!$E$554</definedName>
    <definedName name="Mis1TL">'Mis1'!$D$7</definedName>
    <definedName name="Mis2TL">'Mis2'!$D$7</definedName>
    <definedName name="MissileLongRangeWH">'Tables'!$D$335:$Z$340</definedName>
    <definedName name="MissileRangeTable">'Tables'!$A$187:$B$191</definedName>
    <definedName name="MissileShortRangeWH">'Tables'!$D$327:$Z$332</definedName>
    <definedName name="PA1TL">'PA1'!$D$7</definedName>
    <definedName name="PA2TL">'PA2'!$D$7</definedName>
    <definedName name="PassiveArrayTable">'Tables'!$D$196:$Z$203</definedName>
    <definedName name="PassiveJammerTable">'Tables'!$D$237:$Z$240</definedName>
    <definedName name="PassiveScannerTable">'Tables'!$D$176:$Z$183</definedName>
    <definedName name="PassiveTrackerTable">'Tables'!$D$186:$Z$193</definedName>
    <definedName name="PrimPropFuel">'Tables'!$D$87:$Z$100</definedName>
    <definedName name="PrimPropPrice">'Tables'!$D$103:$Z$116</definedName>
    <definedName name="PrimPropVol">'Tables'!$D$71:$Z$84</definedName>
    <definedName name="RadioTable">'Tables'!$D$151:$Z$157</definedName>
    <definedName name="ROFTable">'Tables'!$A$151:$B$158</definedName>
    <definedName name="SalvoTable">'Tables'!$A$164:$B$172</definedName>
    <definedName name="SandScreenTable">'Tables'!$G$506:$U$516</definedName>
    <definedName name="SetTL">'Tables'!$U$2</definedName>
    <definedName name="SizeTable">'Tables'!$A$95:$B$109</definedName>
    <definedName name="SquareArea">'Tables'!$E$665</definedName>
    <definedName name="SquareVol">'Tables'!$E$666</definedName>
    <definedName name="StealthAreaMod">'Tables'!$F$25</definedName>
    <definedName name="StealthVolMod">'Tables'!$F$24</definedName>
    <definedName name="TL">'Design'!$D$15</definedName>
    <definedName name="TL2s">'Design'!$D$104:$D$119,'Design'!$D$122:$D$129,'Design'!$D$138,'Design'!$D$140:$D$141,'Design'!$D$143:$D$144,'Design'!$D$146:$D$147,'Design'!$D$149:$D$150,'Design'!$D$152:$D$155</definedName>
    <definedName name="TL3s">'Design'!$D$185,'Design'!$D$186,'Design'!$D$194,'Design'!$D$202,'Design'!$D$203,'Design'!$D$227,'Design'!$D$228,'Design'!$D$229,'Design'!$D$230,'Design'!$D$249,'Design'!$D$256</definedName>
    <definedName name="TLs">'Design'!$D$19,'Design'!$D$34,'Design'!$D$36,'Design'!$D$42,'Design'!$D$43,'Design'!$D$44,'Design'!$D$46:$D$47,'Design'!$D$65:$D$79,'Design'!$D$82:$D$86,'Design'!$D$88:$D$91,'Design'!$D$94:$D$101</definedName>
    <definedName name="TLSetMacro">'Tables'!$T$2:$T$54</definedName>
    <definedName name="TotalPower">'Tables'!$E$552</definedName>
    <definedName name="ToughnessTable">'Tables'!$A$64:$B$92</definedName>
    <definedName name="USPTable">'Tables'!$A$2:$B$61</definedName>
    <definedName name="Vol">'Tables'!$F$3</definedName>
  </definedNames>
  <calcPr fullCalcOnLoad="1"/>
</workbook>
</file>

<file path=xl/sharedStrings.xml><?xml version="1.0" encoding="utf-8"?>
<sst xmlns="http://schemas.openxmlformats.org/spreadsheetml/2006/main" count="2774" uniqueCount="1621">
  <si>
    <t>Welcome to version 3.3 of the FF&amp;S design worksheet. This worksheet will assist you in designing</t>
  </si>
  <si>
    <t>Fixed a problem with bridge armor.</t>
  </si>
  <si>
    <t>Changed pricing for Advanced Nuclear Drives.</t>
  </si>
  <si>
    <t>Changed the nuclear damper turrets and sandcasters to allow grouping into batteries (neccessary for the CUSP).</t>
  </si>
  <si>
    <t>Added Point Defence batteries for lasers - these add the ability for lasers to have extreme ROFs for 1 minute.</t>
  </si>
  <si>
    <t>Added the CUSP - Combat Universal Ship Profile. This profile is intended to be used in Bruce Macintosh's</t>
  </si>
  <si>
    <t>starship combat system. It can be found on the combat page.</t>
  </si>
  <si>
    <t>Version 2.3 - last updated Apr 21, 1998</t>
  </si>
  <si>
    <t>Fixed a problem with grapples.</t>
  </si>
  <si>
    <t>Version 2.2 - last updated Mar 5, 1998</t>
  </si>
  <si>
    <t>Fixed mass problem with high tech (TL &gt;15) jump drives.</t>
  </si>
  <si>
    <t>Version 2.1 - last updated Feb 16, 1998</t>
  </si>
  <si>
    <t>EXCEL ONLY: Added the SaveDesign and LoadDesign macros, to save the ship in a "lighter" text</t>
  </si>
  <si>
    <t>format, to conserve disk space. SaveDesign is called by ctrl+s, LoadDesign is called by ctrl+l.</t>
  </si>
  <si>
    <t>Fixed external cargo pods mass and volume - volume was too high, mass was too low.</t>
  </si>
  <si>
    <t>Fixed PA and Meson damage values based on FFS2 errata.</t>
  </si>
  <si>
    <t>Fixed backup fuel purification plants.</t>
  </si>
  <si>
    <t>Fixed fuel cost on economics page.</t>
  </si>
  <si>
    <t>Fixed Screen crew count - wasn't including damper turrets.</t>
  </si>
  <si>
    <t>Fixed crew totals - wasn't including screens.</t>
  </si>
  <si>
    <t>Fixed drive and magazine problems on missile sheet 2.</t>
  </si>
  <si>
    <t>Fixed atmospheric speeds.</t>
  </si>
  <si>
    <t>Changed hull pricing again (at Bruce Macintosh's request). Hull paint credits are based on percentages, as before…but</t>
  </si>
  <si>
    <t>the costs for military black and ultrablack are back to the original method - based on hull area and a fixed cost.</t>
  </si>
  <si>
    <t>Changed the TLSet macro code to be more efficient. Thanks to "Simon" for sending me the new code.</t>
  </si>
  <si>
    <t>Split code into Excel and Quattro Pro versions for macro support.</t>
  </si>
  <si>
    <t>Version 2.0 - last updated Jan 23, 1998</t>
  </si>
  <si>
    <t>Fixed hull pricing.</t>
  </si>
  <si>
    <t>Fixed coating pricing. Now, coating cost/credits are based on a percentage of the normal hull cost, rather</t>
  </si>
  <si>
    <t>than a fixed amount based on area. The credit for black paint is 10%, the credit for no paint is 20%,</t>
  </si>
  <si>
    <t>the cost for miltary black is 10%, the cost for military ultrablack is 20%.</t>
  </si>
  <si>
    <t>Minor bux fixes with some formulas. Many of these aren't real "fixes" but are little tweaks to allow Excel 5 and</t>
  </si>
  <si>
    <t>Quattro Pro users use the sheet better.</t>
  </si>
  <si>
    <t>Changed a lot of FIXED() formulas to ROUND() formulas. While this might seem wrong (since they're not the</t>
  </si>
  <si>
    <t>same thing), it fixes some bugs that Excel 5.0 and Quattro Pro users might be experiencing, and in the</t>
  </si>
  <si>
    <t>places it is used, it turns out to be nearly the same thing.</t>
  </si>
  <si>
    <t>Changed the way USP is calculated for power plants to accommodate Excel 5.0 and Quattro Pro users.</t>
  </si>
  <si>
    <t>Changed the fuel system in missile design to resolve a circular reference that appeared in Quattro Pro. Now</t>
  </si>
  <si>
    <t>there is only one fuel line - it applies to either the AND or HEPlaR (whichever you're using, since its unlikely</t>
  </si>
  <si>
    <t>you'd use both).</t>
  </si>
  <si>
    <t>Added TL tracking on hull materials, to check if the material selected is valid.</t>
  </si>
  <si>
    <t>Version 1.9 - last updated Jan 20, 1998</t>
  </si>
  <si>
    <t>* IMPORTANT * Please refer to the instructions below for primitive drives and HEPlaR drives, as the fuel</t>
  </si>
  <si>
    <t>for these systems are now handled using a mass-based logrithmic function (which is more realistic).</t>
  </si>
  <si>
    <t>Fixed volume and area calculation for asteroid hulls.</t>
  </si>
  <si>
    <t>Fixed some fuel mass problems (like LH weighing 1.07 instead of .07…ack)</t>
  </si>
  <si>
    <t>Fixed the crew totals in the summary bar.</t>
  </si>
  <si>
    <t>Fixed primitive thrust agencies, again :). Fuel use is now based on mass formula.</t>
  </si>
  <si>
    <t>Fixed many broken items concerning low-tech craft.</t>
  </si>
  <si>
    <t>Changed HEPlaR fuel calculation to base fuel use on mass.</t>
  </si>
  <si>
    <t>Added the ability to store fuel in streamlining waste space, if desired.</t>
  </si>
  <si>
    <t>Version 1.8 - last updated Jan 19, 1998</t>
  </si>
  <si>
    <t>Fixed TL macro</t>
  </si>
  <si>
    <t>Updated copyrights</t>
  </si>
  <si>
    <t>Added contributors to intro page</t>
  </si>
  <si>
    <t>Added deckplans page</t>
  </si>
  <si>
    <t>Version 1.7 - last updated Jan 15, 1998</t>
  </si>
  <si>
    <t>Added power analysis page.</t>
  </si>
  <si>
    <t>Changed component armor to be in a "medium box" configuration, rather than "sphere".</t>
  </si>
  <si>
    <t>Added a split window for the summary footer on the design page.</t>
  </si>
  <si>
    <t>Added crew totals to the summary footer.</t>
  </si>
  <si>
    <t>Fixed laser volume bug.</t>
  </si>
  <si>
    <t>Fixed multiple weapon bug.</t>
  </si>
  <si>
    <t>Added component armor for bridge workstations.</t>
  </si>
  <si>
    <t>Added batteries.</t>
  </si>
  <si>
    <t>Fixed some BIG errors in economic details.</t>
  </si>
  <si>
    <t>Version 1.6 - last updated Dec 18, 1997</t>
  </si>
  <si>
    <t>Fixed missile canisters</t>
  </si>
  <si>
    <t>Fxed some further errors in economic details.</t>
  </si>
  <si>
    <t>Added calculation of non-combat (all systems except weapons, defence, and active ECM) power and IR signature</t>
  </si>
  <si>
    <t>Version 1.5 - last updated Dec 3, 1997</t>
  </si>
  <si>
    <t>Fixed and clarified economic details (switched from trip based to annual-based, and fixed errors)</t>
  </si>
  <si>
    <t>Fixed primitive drive fuel volume</t>
  </si>
  <si>
    <t>Fixed HEPlaR fuel volume</t>
  </si>
  <si>
    <t>Fixed Laser1 ROF problem at extreme ranges</t>
  </si>
  <si>
    <t>Added High/Low powered active sensors</t>
  </si>
  <si>
    <t>Added Component Armor - placed by section</t>
  </si>
  <si>
    <t>Version 1.4 - last updated Dec 2, 1997</t>
  </si>
  <si>
    <t>Fixed USP ROF modifiers according to SSDS errata</t>
  </si>
  <si>
    <t>Fixed missile design so that you can finally design working missiles</t>
  </si>
  <si>
    <t>Split MFDs into Beam MFDs and Missile MFDs (Missile MFDs have laser commos)</t>
  </si>
  <si>
    <t>Added macro to copy base TL to component TLs.</t>
  </si>
  <si>
    <t>Added the ability to individually assign weapon ranges to each battery</t>
  </si>
  <si>
    <t>Version 1.3 - last updated Dec 1, 1997</t>
  </si>
  <si>
    <t>Fixed TL10+ Scanners and Trackers</t>
  </si>
  <si>
    <t>Fixed Sensors and Jammers to allow multiple components</t>
  </si>
  <si>
    <t>Fixed crew calculations in Excel version.</t>
  </si>
  <si>
    <t xml:space="preserve">Fixed Missile Design MFD bug </t>
  </si>
  <si>
    <t>Fixed Missile Laser Communicator placement</t>
  </si>
  <si>
    <t>Fixed Primitive Thrust Agencies</t>
  </si>
  <si>
    <t>Fixed Life Support Costs</t>
  </si>
  <si>
    <t>Added Missile MFD range selection</t>
  </si>
  <si>
    <t>Added AND primitive thrust type</t>
  </si>
  <si>
    <t>Version 1.2 - last updated Nov 5, 1997</t>
  </si>
  <si>
    <t>Fixed extreme range weapon multipliers</t>
  </si>
  <si>
    <t>Added the ability to select SSDS weapon ranges or FF&amp;S weapon ranges</t>
  </si>
  <si>
    <t>Version 1.1 - last updated Nov 3, 1997</t>
  </si>
  <si>
    <t>Fixed Stealth parameters.</t>
  </si>
  <si>
    <t>Added new sensors, jammers, and signature calculation</t>
  </si>
  <si>
    <t>Known Problems/Bugs</t>
  </si>
  <si>
    <t>None</t>
  </si>
  <si>
    <t>spaceships and starships using the FF&amp;S (v2) ruleset. Nearly all aspects of craft design are supported,</t>
  </si>
  <si>
    <t>including:</t>
  </si>
  <si>
    <t>* Custom hulls (including asteroid)</t>
  </si>
  <si>
    <t>* Separate Tech Levels for nearly all components</t>
  </si>
  <si>
    <t>* All drive systems supported</t>
  </si>
  <si>
    <t>* Custom weapons</t>
  </si>
  <si>
    <t>* Nearly all electronics supported</t>
  </si>
  <si>
    <t>* Full USP generated, along with combat statistics, economic analysis, power use analysis, and deckplans worksheet.</t>
  </si>
  <si>
    <t>In order to use the spreadsheet effectively, you should take a moment and review this page, which contains</t>
  </si>
  <si>
    <t>instructions on how to use the worksheet.</t>
  </si>
  <si>
    <t>Note: some people have expressed some concern that some cells (particularly in the Tables page) have @err() or #value in</t>
  </si>
  <si>
    <t xml:space="preserve">them. This is on purpose! The presence of @err() or #value means that the component selected is not possible, due to </t>
  </si>
  <si>
    <t>tech level or some other restriction. So, if your worksheet generates an error, make sure that you've selected a valid</t>
  </si>
  <si>
    <t>component before deciding if its a bug.</t>
  </si>
  <si>
    <t>If you find any problems/bugs with this worksheet, or want to make comments, please email me</t>
  </si>
  <si>
    <t>at igor@ames.net</t>
  </si>
  <si>
    <t>USING THE WORKBOOK</t>
  </si>
  <si>
    <t>This workbook is broken into several pages - each page has a specific purpose:</t>
  </si>
  <si>
    <t>Intro - this page, with rules and introduction</t>
  </si>
  <si>
    <t>USP - the USP page, which contains formatted information about the design</t>
  </si>
  <si>
    <t>Econ - a page that estinates the economic potential of the design</t>
  </si>
  <si>
    <t>Power - a page that breaks down the power use of the ship, and examines use scenarios</t>
  </si>
  <si>
    <t>Deckplans - a page that describes how many "squares" on a deckplan each component takes up.</t>
  </si>
  <si>
    <t>Design - Here's where you actually design the ship.</t>
  </si>
  <si>
    <t>Las1..4 - four pages that allow laser weapons to be designed.</t>
  </si>
  <si>
    <t>Mis1..2 - two pages that allow missile weapons to be designed</t>
  </si>
  <si>
    <t>PA1..2 - two pages that allow particle weapons to be designed</t>
  </si>
  <si>
    <t>Mes1..2 - two pages that allow meson weapons to be designed</t>
  </si>
  <si>
    <t>Tables - a utility page that contains all of the tables and equations used in the workbook. You</t>
  </si>
  <si>
    <t>should not have to use this page.</t>
  </si>
  <si>
    <t>All of your work will be done on the Design and weapons pages - none of the other pages require input</t>
  </si>
  <si>
    <t>(unless you wish to change the economic parameters on the econ page).</t>
  </si>
  <si>
    <t>USING THE DESIGN PAGE</t>
  </si>
  <si>
    <t>Here is where you actually design your ship. You need to enter values into the white cells only.</t>
  </si>
  <si>
    <t>Looking at each section:</t>
  </si>
  <si>
    <t>Indentification</t>
  </si>
  <si>
    <t>Name - the name of the ship. I.e. Lionness.</t>
  </si>
  <si>
    <t>Class - the class name of the ship. I.e. Tigress.</t>
  </si>
  <si>
    <t>Type - a short description of the ship. I.e Dreadnaught.</t>
  </si>
  <si>
    <t>Architect - your name.</t>
  </si>
  <si>
    <t>Budget - if you are operating on a budget, place the amount in here, and the sheet will track how much</t>
  </si>
  <si>
    <t>money you have remaining.</t>
  </si>
  <si>
    <t>Cost Modification - the final cost of your craft is multiplied by this value. Uses for this field include class</t>
  </si>
  <si>
    <t xml:space="preserve">discounts (such as .9 or .8) or higher values representing quality materials (such as on a yacht, values </t>
  </si>
  <si>
    <t>like 1.1 or 1.2)</t>
  </si>
  <si>
    <t>Small Craft mass multiplier - this value is used to estimate small craft mass. For example, a multiplier</t>
  </si>
  <si>
    <t>of 1 will estimate a 700m3 craft to be 700tons. Combat ships (such as fighters) should have a larger</t>
  </si>
  <si>
    <t>multiplier (2 or higher).</t>
  </si>
  <si>
    <t>Subsidized - 0 means the craft is not subsidized, any other value means the ship is subsidized. Subsidized</t>
  </si>
  <si>
    <t>craft use different economics than normal ships.</t>
  </si>
  <si>
    <t>Classification - 0 means civilian, any other value means military. Military vessels use different crew</t>
  </si>
  <si>
    <t>equations.</t>
  </si>
  <si>
    <t>Use Realistic Thrust - 0 means no, 1 means yes. If realistic thrust is turned on, the ship will calculate</t>
  </si>
  <si>
    <t>acceleration based on thrust/mass. If it is turned off, acceleration is assumed to average out to</t>
  </si>
  <si>
    <t>the requested value. Note that with realistic thrust, there are 2 acceleration values, Loaded/Clean.</t>
  </si>
  <si>
    <t>Use Waste Space - 0 means no, 1 means yes. If waste space use is turned on, the ship will attempt</t>
  </si>
  <si>
    <t>to store as much of its fuel (drive, jump, and power) in the waste space created by streamlining.</t>
  </si>
  <si>
    <t>Note: This may invalidate your design for tournaments - currently this is not an official ruling.</t>
  </si>
  <si>
    <t>It is included in the spreadsheet because several people believe that it should be an official rule.</t>
  </si>
  <si>
    <t>If you want your ship to be completely "legal", you should switch this setting to 0.</t>
  </si>
  <si>
    <t>TL - The base TL of the ship. Individual components can have different TLs. You can copy the base TL</t>
  </si>
  <si>
    <t>to all the component TLs by using the SetTL macro, activated by using ctrl-t.</t>
  </si>
  <si>
    <t>For other components, there are 5 columns:</t>
  </si>
  <si>
    <t>TL - If a component can have a differing TL than the base TL, it is set here.</t>
  </si>
  <si>
    <t># - If applicable, the number of this component present.</t>
  </si>
  <si>
    <t>Code, O1, O2, O3 - These four fields differ in their use for each component. Normally, the Code is used to set</t>
  </si>
  <si>
    <t>the "type" of "value" of the component, and the O1, O2 and O3 fields are used to set options. The Notes</t>
  </si>
  <si>
    <t>column contains summary information about the component you have designed. When entering an</t>
  </si>
  <si>
    <t>index or code, the sequence starts at 0, not 1.</t>
  </si>
  <si>
    <t>Component Armor</t>
  </si>
  <si>
    <t>Each section (Drives, Controls, etc) and each weapon can now have its own component armor, which is</t>
  </si>
  <si>
    <t>in addition to the ship's base armor. Some assumptions are made for component armor:</t>
  </si>
  <si>
    <t>1) The components use the same material as the hull</t>
  </si>
  <si>
    <t>2) The components are in a "medium box" shaped space. While this is not entirely acurate, in most cases it is</t>
  </si>
  <si>
    <t>an acceptable approximation.</t>
  </si>
  <si>
    <t>Hull</t>
  </si>
  <si>
    <t>There are two sections here - one for normal hulls, one for asteroid hulls. You only need to fill out</t>
  </si>
  <si>
    <t>one - the other should be set for a displacement of 0.</t>
  </si>
  <si>
    <t>Normal Shell - place the displacement (in tons) of the hull in the code column</t>
  </si>
  <si>
    <t>Material - place the index number of the material to use in the code column..</t>
  </si>
  <si>
    <t>Shape - place the index of the hull shape in the code column.</t>
  </si>
  <si>
    <t>Streamlining - place the index of streamlining in the code column.</t>
  </si>
  <si>
    <t>Armor rating - this is the Armor Rating, not the USP code (which will be calculated automatically).</t>
  </si>
  <si>
    <t>Stealth - enter the stealth level of the hull.</t>
  </si>
  <si>
    <t>Coatings - enter the index of the hull coating.</t>
  </si>
  <si>
    <t>Strength - enter the G-rating the hull is designed to handle. This number is also used to calculate Structure.</t>
  </si>
  <si>
    <t>Asteroid - place the displacement (in tons) of the hull in the codse column. Note, the Normal Shell displacement</t>
  </si>
  <si>
    <t>must be set at 0.</t>
  </si>
  <si>
    <t>Note: The Strength of the hull will be determined by the remaining rock - and thus is based on Armor</t>
  </si>
  <si>
    <t>Rating.</t>
  </si>
  <si>
    <t>Drives</t>
  </si>
  <si>
    <t>* IMPORTANT CHANGE * The primitive drive and HEPlaR systems have changed. Their fuel is now being</t>
  </si>
  <si>
    <t>calculated based on the logrithmic mass function. This provides a slighly more realistic value than the</t>
  </si>
  <si>
    <t>old version. The result is, however, you cannot enter the number of G-hours you wish - instead you must</t>
  </si>
  <si>
    <t>enter in the displacement tonnage (14m3) of fuel carried, and the sheet will calculate the G-endurance</t>
  </si>
  <si>
    <t>based on the amount of fuel. This is perhaps not as convenient, but it is more realistic.</t>
  </si>
  <si>
    <t>All of the maneuver drives (Primitive, HEPlaR, Thruster, and CG) work in roughly the same manner. You enter</t>
  </si>
  <si>
    <t>the TL of the drive, the number of drives, and the desired G-rating OF EACH DRIVE. Thus, if you have</t>
  </si>
  <si>
    <t>two drives, each providing 1G, your total thrust will be 2G. Note that when realistic thrust is turned on,</t>
  </si>
  <si>
    <t>your desired thrust may no actually equal your real thrust, which is stated in the Notes column. You may</t>
  </si>
  <si>
    <t>need to tweak the Code column so that your real thrust matches (or approximates) your desired thrust.</t>
  </si>
  <si>
    <t>Note also that as you mess with your design, your mass will change, and the G-rating will change.</t>
  </si>
  <si>
    <t>Primitive drives and HEPlaR also need fuel, which is listed below the primary drive - enter the displacement</t>
  </si>
  <si>
    <t>tons of fuel carried. The sheet will calculate the g-hours of fuel carried.</t>
  </si>
  <si>
    <t>Primary Primitive Drive - as normal drive, but pick the type of drive using the O1 column.</t>
  </si>
  <si>
    <t>Backup Primitive Drive, as Primary Primitive Drive, but O2 is used for solid rocket to enter their endurance</t>
  </si>
  <si>
    <t>in G-Hours (required for solid engines, since the engine is the fuel).</t>
  </si>
  <si>
    <t>Jump Drive - enter the jump rating in the Code column.</t>
  </si>
  <si>
    <t>Jump Fuel - enter the number of parsecs worth of fuel the ship carries, this is normally the jump rating</t>
  </si>
  <si>
    <t>of the ship (but may be larger or smaller).</t>
  </si>
  <si>
    <t>Solar Sails - Solar sails work differently than the above drives. The Code column lists the number of</t>
  </si>
  <si>
    <t>square kilometers of sail the ship has. The notes column lists the resulting acceleration, loaded</t>
  </si>
  <si>
    <t>and unloaded. The Opt1 column is a flag for sail storage (0=not stored, 1=stored).</t>
  </si>
  <si>
    <t>Drive Armor - component armor for all drives (but not Fuel..see Fuel Systems)</t>
  </si>
  <si>
    <t>Weapons</t>
  </si>
  <si>
    <t>Empty Turrets/Bays - The Code and O1 column repesent the volume/area of the turret/bay, resectively.</t>
  </si>
  <si>
    <t>These values are used if O2 is 0. However, if O2 is 1, the values will be for a 3std/50std turret/bay, and</t>
  </si>
  <si>
    <t>if O2 is 2 the values will be for a 6std/100std turret/bay.</t>
  </si>
  <si>
    <t>Weapons - each weapon is designed on its own worksheet page (instructions below). You simply need to</t>
  </si>
  <si>
    <t>enter how many of each weapon you wish.</t>
  </si>
  <si>
    <t>Defences</t>
  </si>
  <si>
    <t>ESA - The code column represents the armor value the ESA generator provides. The O1 column represents</t>
  </si>
  <si>
    <t>the rate of disharge.</t>
  </si>
  <si>
    <t>Force Field - the code column represents the flicker rate, divided by 10 (ie 2 = 20% flicker). The accumulator</t>
  </si>
  <si>
    <t>entry on the next line represents additional megajoules of energy storage - the notes column lists the</t>
  </si>
  <si>
    <t>total amount of megajoules stored (which includes jump capacitors).</t>
  </si>
  <si>
    <t>Meson screen - the code coumn represents the protection value the screen provides.</t>
  </si>
  <si>
    <t xml:space="preserve">Damper Turrets - the code column represents the range of the turret, in kilometers. Enter the value directly </t>
  </si>
  <si>
    <t>(i.e. 50000). If the range is greater than 500,000, the beam pointer row will note that the targeting range</t>
  </si>
  <si>
    <t>is only 500,000km (the maximum beam pointer range). The O1 column represents the number of</t>
  </si>
  <si>
    <t>batteries the turrets are organized into. Extra turrets will be discarded when calculating the CUSP.</t>
  </si>
  <si>
    <t>Damper Screen - the code column represents the protection value the screen provides.</t>
  </si>
  <si>
    <t>Sandcasters - the code column represents the armor value of one shot of sand. The O1 column represents</t>
  </si>
  <si>
    <t>the number of cans of sand the dispenser carries. The O2 column represents the number of batteries</t>
  </si>
  <si>
    <t>the sandcasters are organized into. Extra sandcasters will be discarder when calculating the CUSP.</t>
  </si>
  <si>
    <t>Gravtics - the code column represents the force of the gravtic, in kilonewtons. Enter the value directly (i.e.</t>
  </si>
  <si>
    <t>10000). The O1 column is an indexed value representing the type of gravtic.</t>
  </si>
  <si>
    <t>The beam pointer line represents the targeting range of the gravtic, in kilometers. It is entered directly.</t>
  </si>
  <si>
    <t>Defences Armor - component armor for all defences</t>
  </si>
  <si>
    <t>Controls</t>
  </si>
  <si>
    <t>Beam MFDs/Missile MFDs - these represent un-assigned MFDs (weapons can have their own, installed on the</t>
  </si>
  <si>
    <t>weapon design pages). The code column is an indexed value representing the range. Missile MFDs include</t>
  </si>
  <si>
    <t>a laser communicator of the same range.</t>
  </si>
  <si>
    <t>Computers - the code column is an indexed value representing the computing power of the computer(s).</t>
  </si>
  <si>
    <t>Automation Level - the code column  is an indexed value representing the automation level.</t>
  </si>
  <si>
    <t>Controls Armor - component armor for all controls, and workstations.</t>
  </si>
  <si>
    <t>Communications</t>
  </si>
  <si>
    <t>Radios - the code column is an indexed value representing the range. The O1 column is used for</t>
  </si>
  <si>
    <t>options: 0 means no options, 1 means directional, 2 means tight-beam.</t>
  </si>
  <si>
    <t>Laser and Meson commos - the code column is an indexed value representing range.</t>
  </si>
  <si>
    <t>Commo Armor - component armor for all communications.</t>
  </si>
  <si>
    <t>Sensors</t>
  </si>
  <si>
    <t>Sensors - the code column (if used) is an indexed value representing range/sensitivity. The O1 column</t>
  </si>
  <si>
    <t>is a flag for Science-Grade sensors (0 is no, 1 is yes). The O2 column is a flag for a folding</t>
  </si>
  <si>
    <t>antenna array (0 is no, 1 is yes). Active sensors use the O3 column to specify a power modifier -</t>
  </si>
  <si>
    <t>this can be used to create hi/low power sensors. The number needs to be between .5 and 1.5 -</t>
  </si>
  <si>
    <t>the power is multiplied by the value entered, while the area if divided by the value.</t>
  </si>
  <si>
    <t>Jammers - the code column is an index value to select the range (I have no idea what these numbers</t>
  </si>
  <si>
    <t>mean, though). The Opt1 column is a falg for a folding antenna (0 is no, 1 is yes).</t>
  </si>
  <si>
    <t>Decoy dispenser - The number of decoy launchers.</t>
  </si>
  <si>
    <t>Decoys - The number of decoys PER launcher.</t>
  </si>
  <si>
    <t xml:space="preserve">Sensor Armor - component armor of all sensors. </t>
  </si>
  <si>
    <t>Power Systems</t>
  </si>
  <si>
    <t>Power Plants - the code column represents the amount of power desired. The spreadsheet will</t>
  </si>
  <si>
    <t>attempt to build a power plant with exactly that amount of power, taking into consideration</t>
  </si>
  <si>
    <t>the scaling of large power plants. There are two times when it cannot do this: when the power</t>
  </si>
  <si>
    <t>requested is below the minimum output of the type of plant, and when the power plant is right</t>
  </si>
  <si>
    <t>at the junction of getting a scalability bonus. In these cases, the spreadsheet gives you the</t>
  </si>
  <si>
    <t>smallest power plant possible that provides AT LEAST the power you request.</t>
  </si>
  <si>
    <t>Photoelectric Cells - the Opt1 column is a flag representing a folding array (0=no, 1 =yes).</t>
  </si>
  <si>
    <t>Batteries - the Opt1 column represents the number of hours the batteries must provide the requested</t>
  </si>
  <si>
    <t>power. The batteries are assumed to be standard discharge batteries (which is sufficient for</t>
  </si>
  <si>
    <t>nearly all starship applications).</t>
  </si>
  <si>
    <t>Masking Systems - the code column is an indexed value representing the presence of EMM radiators.</t>
  </si>
  <si>
    <t>The radiators are placed on ALL power plants (in order to simplify signature calculation).</t>
  </si>
  <si>
    <t>Neutrino Masking - the code column is a flag representing the presence of neutrino masking (0 is no,</t>
  </si>
  <si>
    <t>1 is yes).</t>
  </si>
  <si>
    <t>Power Armor - component armor for power plants (but not Fuel - see Fuel Systems)</t>
  </si>
  <si>
    <t>Small Craft</t>
  </si>
  <si>
    <t>All of the small craft systems (except grapples) list the small craft displacement (std) in the code column.</t>
  </si>
  <si>
    <t>The mass of the small craft is estimated using the Small Craft Mass Multiplier given above.</t>
  </si>
  <si>
    <t>The area of launch ports is estimated by calculating the diameter of a sphere the size of the small</t>
  </si>
  <si>
    <t>craft, and squaring it.</t>
  </si>
  <si>
    <t>Hanagrs - the O1 column is the number of access ports (hatches) you want. Thus, you can build large</t>
  </si>
  <si>
    <t>hangar decks with the ability to launch only a few ships at a time. The number of ports may be 0,</t>
  </si>
  <si>
    <t>but then you should install launch tubes.</t>
  </si>
  <si>
    <t xml:space="preserve">Grapples - the code column represent the small craft displacement (std). The O1 column is an indexed </t>
  </si>
  <si>
    <t>value representing the streamlining of the grapples. The O2 column is a flag for universal grapples</t>
  </si>
  <si>
    <t xml:space="preserve"> (0=no, 1 = yes). You must enter the area by hand. The volume of this system INCLUDES the volume</t>
  </si>
  <si>
    <t>of the craft carried (in order to keep drive parameters simple).</t>
  </si>
  <si>
    <t>Hangar Armor - component armor for all small craft fixtures except grapples, which cannot be armored.</t>
  </si>
  <si>
    <t>Miscellaneous</t>
  </si>
  <si>
    <t>Armory - the code column represents the number of troops the armory services.</t>
  </si>
  <si>
    <t>Other - the code column represents the volume of a single item (in m3). You must enter the description</t>
  </si>
  <si>
    <t>for the item in the notes collumn. The mass and power are defined as in the rules</t>
  </si>
  <si>
    <t>Special - these items are completely blank, and must be entered by hand. They are intended for systems</t>
  </si>
  <si>
    <t>that the sheet cannot handle.</t>
  </si>
  <si>
    <t>Drop Capsule Launcher - the code column is the number of capsules the launcher holds.</t>
  </si>
  <si>
    <t>Misc Armor - component armor for all miscellaneous features.</t>
  </si>
  <si>
    <t>Cargo Systems</t>
  </si>
  <si>
    <t>Cargo Handling Equipment - the code column is the tons (mass) of cargo the handling equipment can lift.</t>
  </si>
  <si>
    <t>Custom Cargo Doors - the code column is the area of the door.</t>
  </si>
  <si>
    <t>Cargo Pod - handled exactly like small craft grapples. The mass of the cargo pod is estimated to be</t>
  </si>
  <si>
    <t>the volume of the cargo pod in m3, times 1.1. This represents both the pod itself and the cargo within.</t>
  </si>
  <si>
    <t>Cargo Armor - component armor for all cargo systems except cargo pods, which cannot be armored.</t>
  </si>
  <si>
    <t>Fuel Systems</t>
  </si>
  <si>
    <t>Extra H2 - the code column is extra fuel, in tons (14m3).</t>
  </si>
  <si>
    <t>Drop Tanks - the code column is extra fuel per tank, in tons (14m3). The O1 column is an indexed</t>
  </si>
  <si>
    <t>value representing the streamlining of the grapples. The volume of the tanks are included, in order</t>
  </si>
  <si>
    <t>to keep drive parameters simple. The mass of the pod is estimated to be the volume of the pod</t>
  </si>
  <si>
    <t xml:space="preserve">in m3, times .1, plus the mass of the fuel within. </t>
  </si>
  <si>
    <t>Scoops - the code column represents scoop area percentage.</t>
  </si>
  <si>
    <t>Purification Plant - the code column represents the desired time in which to purify all of the carried</t>
  </si>
  <si>
    <t>fuel (including drop tanks and extra fuel), in hours. The system will recognize if you attempt to design</t>
  </si>
  <si>
    <t>a plant that results in a size less than the minimum size, and will adjust your design accordingly.</t>
  </si>
  <si>
    <t>Fuel System Armor - component armor for all fuel systems and ALL fuel on the ship.</t>
  </si>
  <si>
    <t>Crew and Passengers</t>
  </si>
  <si>
    <t>The code column of the crew section lists the suggested crew levels based on the standard FF&amp;S</t>
  </si>
  <si>
    <t xml:space="preserve">rules. </t>
  </si>
  <si>
    <t>Troops - the notes column lists the breakdown of Officers, NCOs, and Enlisted.</t>
  </si>
  <si>
    <t>Workstations</t>
  </si>
  <si>
    <t>The code column lists the suggested number of workstations based on the standard FF&amp;S rules.</t>
  </si>
  <si>
    <t>Bridge Armor - component armor for the bridge. Note that workstations and bridge workstations</t>
  </si>
  <si>
    <t>also receive armor from the controls section. So this armor is above and beyond the controls</t>
  </si>
  <si>
    <t>armor (to make a really reinforced bridge).</t>
  </si>
  <si>
    <t>Accomodations</t>
  </si>
  <si>
    <t>This section is largely self-explanatory.</t>
  </si>
  <si>
    <t>Accomod. Armor - component armor for acommodations</t>
  </si>
  <si>
    <t>Life Support</t>
  </si>
  <si>
    <t>Basic Life Support - the code column is a index value to select the type of basic life support.</t>
  </si>
  <si>
    <t>Endurance Life Support - the code column is an index value to select the type of extended life support.</t>
  </si>
  <si>
    <t>Airlocks  - the code column is the minimum number of airlocks the ship must have.</t>
  </si>
  <si>
    <t>Food - the # column represents the number of people you wish to feed. The code column is the</t>
  </si>
  <si>
    <t>number of weeks you wish to feed them. The O1 column is an index value representing the</t>
  </si>
  <si>
    <t>food quality. The O2 column is a flag representing food storage capability (0=no, 1=yes).</t>
  </si>
  <si>
    <t>Galleys - the code column represents the number of people the galley can serve.</t>
  </si>
  <si>
    <t>Double Hull and Spin gravity - the code column is the number of tons (m3) of area that is in the</t>
  </si>
  <si>
    <t>gravity section.</t>
  </si>
  <si>
    <t>G-Plates &amp; Comp - the code column is the G level compensated.</t>
  </si>
  <si>
    <t>Life Support Armor - component armor for life support systems.</t>
  </si>
  <si>
    <t>Totals</t>
  </si>
  <si>
    <t>In addition to show volume, mass, power, etc totals, the summary footer also shows the current</t>
  </si>
  <si>
    <t>number of crewmembers, and the number of crewmembers short your design is according to</t>
  </si>
  <si>
    <t>the spreadsheet recommendations.</t>
  </si>
  <si>
    <t>WEAPON DESIGN PAGES</t>
  </si>
  <si>
    <t>For this spreadsheet, weapons are designed on their own worksheet pages. For each battery, you</t>
  </si>
  <si>
    <t>design a single weapon, and then decide how many weapons are in each mount, and how many</t>
  </si>
  <si>
    <t>mounts are in each battery. The worksheet will then insert all the proper values on the design</t>
  </si>
  <si>
    <t>page. It should be noted that the spreadsheet has a weapon page load/save feature, so you can archive</t>
  </si>
  <si>
    <t>your designs. These macros can be found under the macro menu.</t>
  </si>
  <si>
    <t>Laser Design</t>
  </si>
  <si>
    <t>Weapon Name - a descriptive title for this battery</t>
  </si>
  <si>
    <t>TL - The tech level of this battery. All components of a weapon battery are built at one tech level.</t>
  </si>
  <si>
    <t>Focal Array Mount - a index value to select the type of weapon mount.</t>
  </si>
  <si>
    <t>Focal Array Diameter - the diameter of a single weapon, in meters.</t>
  </si>
  <si>
    <t>Focal Array Type - 0 = tunable, 1 = X-ray.</t>
  </si>
  <si>
    <t>Discharge Energy - energy of the weapon, in megajoules.</t>
  </si>
  <si>
    <t>Focusing Type - 0 = non grav-focused, 1 = grav-focused.</t>
  </si>
  <si>
    <t>Crewstation present - 0 = no, 1 = yes.</t>
  </si>
  <si>
    <t>MFD present - 0 = no, 1 = yes. The range of the MFD will be 50,000km.</t>
  </si>
  <si>
    <t>Number of Weapons - this is the number of weapons in a "mount", such as a turret. Mounts</t>
  </si>
  <si>
    <t>can later be grouped into batteries.</t>
  </si>
  <si>
    <t>Rate of Fire - this is the number of shots the weapon fires in a 30 minute combat turn.</t>
  </si>
  <si>
    <t>Point Defence ROF - this is a supplemental rate of fire for the weapon. Batteries will be</t>
  </si>
  <si>
    <t>installed to allow this ROF to be sustained for 1 minute each 30 minute turn. This</t>
  </si>
  <si>
    <t>is sufficient to receive point defence bonuses, but it will not increase the base</t>
  </si>
  <si>
    <t>ROF rating. The focal array will be built to handle this ROF, if neccessary.</t>
  </si>
  <si>
    <t>Weapon Armor - component armor for this weapon.</t>
  </si>
  <si>
    <t>Buffer Space - this is used to raise the space used by the weapon to one of the "standard"</t>
  </si>
  <si>
    <t>sizes, 0 = none, 1 = small (3ton) turret, 2 = large (6ton) turret, 3 = small (50ton) bay,</t>
  </si>
  <si>
    <t>4 = large (100ton) bay.</t>
  </si>
  <si>
    <t>Battery Design, Number of Weapons - this is the number of "mounts" in a battery.</t>
  </si>
  <si>
    <t>Missile Design</t>
  </si>
  <si>
    <t>This section is identical to Laser Design, with the following exceptions</t>
  </si>
  <si>
    <t>Use Standard Missile - 0 = no, 1 = yes. Selecting yes bypasses the missile design,</t>
  </si>
  <si>
    <t>allowing you to use the standard 6G12 7m3 missiles. Thus, you only need to</t>
  </si>
  <si>
    <t xml:space="preserve">design the launcher. </t>
  </si>
  <si>
    <t>Most of the missile design is like ship design.</t>
  </si>
  <si>
    <t>The AND drive system is the most likely system for missiles, and it is the only</t>
  </si>
  <si>
    <t>viable system for small missiles (Thrusters are too big, HePLAR requires</t>
  </si>
  <si>
    <t>a fusion plant, and the other primitive drives don't have the fuel endurance).</t>
  </si>
  <si>
    <t>To design an AND drive, you specify the desired G-rating in the Code column of</t>
  </si>
  <si>
    <t>the nuclear drive. In order to use AND, the TL must be 10+. If less than 10,</t>
  </si>
  <si>
    <t>a less efficient nuclear drive will be used.</t>
  </si>
  <si>
    <t>For Nuclear drives and HEPlaR drives, the sheet will automatically fill all empty space</t>
  </si>
  <si>
    <t>in your missile with fuel, and calculate endurance in G-turns.</t>
  </si>
  <si>
    <t>Warhead - the code column is an index value for the range of the warhead (0 = short range,</t>
  </si>
  <si>
    <t>1= long range). The Opt1 column is an indexed value representing warhead yield.</t>
  </si>
  <si>
    <t>Launcher Type - index value to select the launcher type.</t>
  </si>
  <si>
    <t>Number of Launchers - this is the number of missiles the launcher can fire in a turn.</t>
  </si>
  <si>
    <t>Magazine Size per launcher - this is the number of missiles the mount stores (per</t>
  </si>
  <si>
    <t>launcher) within the mount itself - more missile can be stored in the ship.</t>
  </si>
  <si>
    <t>Number of Missiles Controlled - this is the number of missiles the mount can control</t>
  </si>
  <si>
    <t>in flight. This field is ignored (and is effectively 0) if you have not installed a MFD</t>
  </si>
  <si>
    <t>Battery Design, Missile Magazine - this is the number of missiles stored within the</t>
  </si>
  <si>
    <t>ship outside the mount. This is a total number, not per launcher.</t>
  </si>
  <si>
    <t>Particle Weapon Design</t>
  </si>
  <si>
    <t>Type - 0 = linear, 1 = toroidal.</t>
  </si>
  <si>
    <t>Tunnel/Path length - length of the tunnel, or path, in meters.</t>
  </si>
  <si>
    <t>Tunnel diameters - diameter of the tunnel, in meters.</t>
  </si>
  <si>
    <t>Number of Laps - number of laps before discharged; ignored for linear accelerators.</t>
  </si>
  <si>
    <t>Meson Weapon Design</t>
  </si>
  <si>
    <t>Tunnel length - length of the tunnel, in meters.</t>
  </si>
  <si>
    <t>USP Page</t>
  </si>
  <si>
    <t>This page contains a complete description of the craft designed. If a field has a /Ar: flag, the field has</t>
  </si>
  <si>
    <t>component armor, which is rated the same way the hull armor is rated. The fields are explained below:</t>
  </si>
  <si>
    <t>Tons - the displacement, streamlining, hull shape, and hull regime.</t>
  </si>
  <si>
    <t>Volume - volume in m3.</t>
  </si>
  <si>
    <t>Mass - the loaded mass, followed by the clean mass (minus cargo and fuel)</t>
  </si>
  <si>
    <t>Dimensions - the dimensions of the craft</t>
  </si>
  <si>
    <t>Size - USP size code</t>
  </si>
  <si>
    <t>Crew - Two numbers, the minimal crew and regular crew. The minimal crew doesn't include</t>
  </si>
  <si>
    <t>maintenance, gunnery, screens, flight, ship troops, command, stewards, and medics.</t>
  </si>
  <si>
    <t>Version 3.1 - last updated August 26, 1998</t>
  </si>
  <si>
    <t>Fixed a formula with contra-grav on missile #1.</t>
  </si>
  <si>
    <t>Passengers High/Medium: self explanatory.</t>
  </si>
  <si>
    <t>Passengers Low: self explanatory.</t>
  </si>
  <si>
    <t>Troops/Science: self explanatory.</t>
  </si>
  <si>
    <t>Frozen Watch: self explanatory.</t>
  </si>
  <si>
    <t>Cargo: internal cargo, in std, followed by number of (small/large) cargo doors. Cargo pods listed as well, as</t>
  </si>
  <si>
    <t>(/Pod:NxC) where N is the number of pods, and C is the std capacity of each pod. Finally, cargo handling</t>
  </si>
  <si>
    <t>handling equipment is listed as (/Hdl:NxC) where N is the number of cranes/lifters, and C is the mass (in</t>
  </si>
  <si>
    <t>tons) that the equipment can lift.</t>
  </si>
  <si>
    <t>Cost: self explanatory.</t>
  </si>
  <si>
    <t>Maintenance points: self explanatory.</t>
  </si>
  <si>
    <t>TL: tech level.</t>
  </si>
  <si>
    <t>Controls - includes control type, computers, automation level, and bridge presence.</t>
  </si>
  <si>
    <t>Communcations - lists each communications device along with their range and power requirements.</t>
  </si>
  <si>
    <t>Sensors - lists each sensor device along with their sensitivity, nominal range, and power requirements.</t>
  </si>
  <si>
    <t>Survey Sensors - lists each sensor device along with range (if applicable) and power requirements.</t>
  </si>
  <si>
    <t>ECM - lists each device along with range and power requirements. Decoys are listed as well.</t>
  </si>
  <si>
    <t>Signatures - lists all of the signatures (Visual, IR, Active, Neutrino, Gravtic) for this craft.</t>
  </si>
  <si>
    <t>Fixed the Excel weapon save macros from the Excel97 version.</t>
  </si>
  <si>
    <t>Removed the Lightweight Save macros and Weapon save macros from the Excel95 version.</t>
  </si>
  <si>
    <t>Version 3.2 - last updated September 11, 1998</t>
  </si>
  <si>
    <t>Each battery is listed with its USP rating. The actual damage ratings are listed as well (in brackets).</t>
  </si>
  <si>
    <t>Actual damage is listed as [N,R/S-M-L-E] where N is the number of weapons, R is the rate of</t>
  </si>
  <si>
    <t>fire, and S-M-L-E is the short-medium-long-extreme damage ratings for ONE weapon, thus these</t>
  </si>
  <si>
    <t>Version 3.3 - last updated February 15, 2000 (wow, long time)</t>
  </si>
  <si>
    <t>Fixed the power consumption of Grav Compensators.</t>
  </si>
  <si>
    <t>values need to be adjusted for number of weapons and ROF. The base USP code has already</t>
  </si>
  <si>
    <t>been adjusted. Finally, the weapon is followed by a SR or LR. SR stands for short range, and</t>
  </si>
  <si>
    <t>means that the weapon is designed to fire at the 30,000/60,000/120,000/240,000km ranges.</t>
  </si>
  <si>
    <t xml:space="preserve">LR stands for long range, and means that the weapon is designed to fire at the </t>
  </si>
  <si>
    <t>300,000/600,000/1,200,000/2,400,000km ranges.</t>
  </si>
  <si>
    <t>Jump  - jump number and the amount of fuel used to jump one parsec.</t>
  </si>
  <si>
    <t>Maneuver - if realistic thrust is being used, it lists the loaded/clean acceleration. Otherwise, the base</t>
  </si>
  <si>
    <t>acceleration is listed. The type of drive is given, with power requirement and G-Turns of fuel (if</t>
  </si>
  <si>
    <t>present).</t>
  </si>
  <si>
    <t>Contra Grav - if realistic thrust is being used, it lists the loaded/clean lift. Otherwise the base list is</t>
  </si>
  <si>
    <t>listed. The power requirement is also stated.</t>
  </si>
  <si>
    <t>Atmosphere - the maximum loaded/clean atmospheric speed is listed (in kph). The cruising speeds</t>
  </si>
  <si>
    <t>are listed in parenthesis.</t>
  </si>
  <si>
    <t>Power - the power USP rating is listed, along with the type of power plant and its fuel endurance.</t>
  </si>
  <si>
    <t xml:space="preserve">Battery - the MW/Hr rating of the on-board batteries are listed, along with the </t>
  </si>
  <si>
    <t>weapon/life support/zero emission breakdown of battery usage, in hours.</t>
  </si>
  <si>
    <t>Fuel - the tonnage of fuel carried is listed, along with the drop tank tonnage. Scoop presence is</t>
  </si>
  <si>
    <t>noted along with time required to scoop all internal fuel (not drop tanks). Purification plants</t>
  </si>
  <si>
    <t>are noted along with the time to purify all fuel (including drop tanks).</t>
  </si>
  <si>
    <t>Accomodations - lists the number of bunks/small staterooms/large staterooms/low berths/emergency low.</t>
  </si>
  <si>
    <t>Life Support - number of person/weeks of food carried, along with the food quality and presence of</t>
  </si>
  <si>
    <t>food storage. The life support type is also listed.</t>
  </si>
  <si>
    <t>G-Comp - the acceleration compensated, plus the presence of any passenger/crew g-tanks</t>
  </si>
  <si>
    <t>ESA - the armor value provided, along with the rate of discharge.</t>
  </si>
  <si>
    <t>Sandcasters - number of casters, along with the armor value of each can and the number of cans per</t>
  </si>
  <si>
    <t>sancaster dispenser</t>
  </si>
  <si>
    <t>Damper Turrets - number of turrets, along with the range of the turrets and the power requirement.</t>
  </si>
  <si>
    <t>Damper Screen - protection value and power use.</t>
  </si>
  <si>
    <t>Meson Screen - protection value and power use.</t>
  </si>
  <si>
    <t>Force Field - flicker rate and accumulator storage.</t>
  </si>
  <si>
    <t>Gravtics - number of devices, force ability, and power use.</t>
  </si>
  <si>
    <t>Armor - USP rating of armor (and armor rating, in brackets)</t>
  </si>
  <si>
    <t>Structure - USP rating of structure</t>
  </si>
  <si>
    <t>Features</t>
  </si>
  <si>
    <t>Each feature is listed along with its volume.</t>
  </si>
  <si>
    <t>Each small craft hangar is listed along with the size of the craft contained within.</t>
  </si>
  <si>
    <t>Backups</t>
  </si>
  <si>
    <t>As the normal systems.</t>
  </si>
  <si>
    <t>Crew Details</t>
  </si>
  <si>
    <t>Crew detail broken down by section.</t>
  </si>
  <si>
    <t>COMBAT PAGE</t>
  </si>
  <si>
    <t>This page describes the ship using the Combat Universal Ship Profile (CUSP). CUSP is used with the Military Combat</t>
  </si>
  <si>
    <t>System (created by Bruce Macintosh), and much of the data will be useless with out those rules.</t>
  </si>
  <si>
    <t>Many of the systems can have two values, separated by commas. If present, the second value is the backup system(s).</t>
  </si>
  <si>
    <t>Displacement - the displacement of the ship, in std.</t>
  </si>
  <si>
    <t>Crew - the total crew of the ship, plus the number of crew disabled on (Light/Heavy/Critical) crew hits.</t>
  </si>
  <si>
    <t>Size - CUSP size code.</t>
  </si>
  <si>
    <t>Toughness - CUSP toughness code.</t>
  </si>
  <si>
    <t>Max G/Comp - the maximum G rating the hull can survive, and the maximum G rating the crew can survive.</t>
  </si>
  <si>
    <t>Maneuver - the loaded G rating of the ship. P: mean primitive drive, H: means HEPlaR, and a simple rating means thruster.</t>
  </si>
  <si>
    <t>Primitive and HEPlaR drives also include G-Turns of fuel in parenthesis.</t>
  </si>
  <si>
    <t>Jump - jump rating.</t>
  </si>
  <si>
    <t>Power - CUSP power code.</t>
  </si>
  <si>
    <t>Armor Ratings - there are several armor ratings, for individual components and the ship at large. If a system armor value is</t>
  </si>
  <si>
    <t>available for a damaged system, its armor value should be used (it includes the base). Otherwise, the base armor</t>
  </si>
  <si>
    <t>should be used.</t>
  </si>
  <si>
    <t>Bridge/Comp - number of bridges and number/types of computers.</t>
  </si>
  <si>
    <t>Commo - number of Radio Recievers, Radio Transeivers, Laser Commos, and Meson Commos.</t>
  </si>
  <si>
    <t>Sensors - number and rating of Passive, Active, and LIDAR sensors.</t>
  </si>
  <si>
    <t>ECM - number and ratings of Passive, Active, and Area ECM systems.</t>
  </si>
  <si>
    <t>Decoys - number of dispensers and number of decoys (in parenthesis) for Passive, Active, and LIDAR countermeasures.</t>
  </si>
  <si>
    <t>Signature - the visible, IR, Active, and LIDAR signatures of the ship.</t>
  </si>
  <si>
    <t>Fuel - internal fuel tankage (in std), as well as drop tank details.</t>
  </si>
  <si>
    <t>Quarters - lists the number of bunks/small staterooms/large staterooms/low berths/emergency low.</t>
  </si>
  <si>
    <t>Cargo - internal cargo storage, as well as cargo pod details.</t>
  </si>
  <si>
    <t>Facilities - listing of shops, rooms, and miscellaneous features.</t>
  </si>
  <si>
    <t>Specials - listing of custom components.</t>
  </si>
  <si>
    <t>Hangars - listing of hangars, with the number of launch ports in parenthesis.</t>
  </si>
  <si>
    <t>Other Craft - listing of docking rings, jettison bays, and grapples.</t>
  </si>
  <si>
    <t>Fire Control - listing of unassigned beam and missile MFDs. Beam MFDs include fire control rating, Missile MFDs include</t>
  </si>
  <si>
    <t>control rating (number of missile the MFD can control).</t>
  </si>
  <si>
    <t>Sandcaster - Listed per MCS rules. Note that now on the design page you must group sandcasters into batteries.</t>
  </si>
  <si>
    <t>Nuclear Damper - Listed per MCS rules. Note that now of the design page you must group dampers into batteries.</t>
  </si>
  <si>
    <t>Meson Screen - Listed per MCS rules.</t>
  </si>
  <si>
    <t>Black Glode - Listed per MCS rules.</t>
  </si>
  <si>
    <t>Beam Weapon Details - each beam weapon is listed in the following format:</t>
  </si>
  <si>
    <t>1xWeapon Name (+0,+3) 10:9 10:9 PDR: +2</t>
  </si>
  <si>
    <t>The +0 is the ROF bonus (or penalty) and will always be present, even if 0.</t>
  </si>
  <si>
    <t>The +3 is the integral MFD fire control bonus. It will not be present if the battery does not have an integral MFD</t>
  </si>
  <si>
    <t>(in which case the weapon will need to use an unassigned MFD).</t>
  </si>
  <si>
    <t>each p:d pair is the Penetration:Damage of the weapon, for all the ranges the weapon supports, starting at</t>
  </si>
  <si>
    <t>Very Short, then Short, Medium, Long and Extreme. If a weapon cannot fire at a range, there will</t>
  </si>
  <si>
    <t>be no ratings.</t>
  </si>
  <si>
    <t>PDF is point defence rating, and is only present for lasers.</t>
  </si>
  <si>
    <t>Missile weapons are rated for the Salvo rating of the weapon, the P:D rating of the warhead, the defensive rating</t>
  </si>
  <si>
    <t>(size and evasion) of the missile, and the number of salvos carried in the weapon. Below the missiles, the</t>
  </si>
  <si>
    <t>magazine storage is noted.</t>
  </si>
  <si>
    <t>At the bottom of the sheet are spaces to store the ship's current speed and status, as well as some MCS charts.</t>
  </si>
  <si>
    <t>ECONOMICS PAGE</t>
  </si>
  <si>
    <t>This page describes the economic potential of the ship. The top section contains the parameters that</t>
  </si>
  <si>
    <t>need to be set. The bottom section actually describes the economic potential.</t>
  </si>
  <si>
    <t>POWER PAGE</t>
  </si>
  <si>
    <t>This page describes the power generation and use of the ship, and is intended to be used by</t>
  </si>
  <si>
    <t>designers to "tweak" their designs. It also describes several battery use scenarios.</t>
  </si>
  <si>
    <t>Note that jump drives do not require constant power - but require power at the time of the jump.</t>
  </si>
  <si>
    <t>The power required is listed - if the ship does not have surplus power, systems will have to</t>
  </si>
  <si>
    <t>be powered down for jump.</t>
  </si>
  <si>
    <t>Zero-emission mode is a super-stealthy mode that has no EMM emissions. The system</t>
  </si>
  <si>
    <t xml:space="preserve">is entireley dependenton batteries, and has nothing more than controls, communications </t>
  </si>
  <si>
    <t>(assumedly in receive mode only), passive sensors, and life support.</t>
  </si>
  <si>
    <t>DECKPLANS PAGE</t>
  </si>
  <si>
    <t>This page is designed to help architects draw up deckplans of their designs. It describes the</t>
  </si>
  <si>
    <t>number of deckplan "squares" that a component takes up. The page also desribes the ship size</t>
  </si>
  <si>
    <t>in squares. Two sets of dimensions are given - one where the decks are parallel to the vector</t>
  </si>
  <si>
    <t>of motion (the "normal" layout), and one where the decks are perpendicular to the vector</t>
  </si>
  <si>
    <t>of motion (like the Ahzanti High Lightning frontier cruiser from Classic Traveller).</t>
  </si>
  <si>
    <t>In order to use this page, the values for deck height and square size must be set. By default,</t>
  </si>
  <si>
    <t>they are set to the Traveller canon values of 2m deck height and 1.5m square size.</t>
  </si>
  <si>
    <t>Note that the values given are only suggestions, and cannot be taken literally. In particular,</t>
  </si>
  <si>
    <t>the page takes in no account for hallways, "empty space", and common areas. Also, the</t>
  </si>
  <si>
    <t>page does not display the size of exterior items, even items that have volume. This includes</t>
  </si>
  <si>
    <t>grapples, drop tanks, radiators, etc.</t>
  </si>
  <si>
    <t>Statistics</t>
  </si>
  <si>
    <t>Electronics</t>
  </si>
  <si>
    <t>Weaponry</t>
  </si>
  <si>
    <t>Performance</t>
  </si>
  <si>
    <t>Displacement:</t>
  </si>
  <si>
    <t>Crew:</t>
  </si>
  <si>
    <t>5  (1/1/1)</t>
  </si>
  <si>
    <t>Size:</t>
  </si>
  <si>
    <t>Toughness:</t>
  </si>
  <si>
    <t>Max G/Comp:</t>
  </si>
  <si>
    <t>Maneuver:</t>
  </si>
  <si>
    <t>Jump:</t>
  </si>
  <si>
    <t>Power:</t>
  </si>
  <si>
    <t>Drives/Def.</t>
  </si>
  <si>
    <t>Control/Commo</t>
  </si>
  <si>
    <t>Sensor/ECM</t>
  </si>
  <si>
    <t>Power/Craft</t>
  </si>
  <si>
    <t>Armor</t>
  </si>
  <si>
    <t>Ratings</t>
  </si>
  <si>
    <t>Base</t>
  </si>
  <si>
    <t>Fac/Cargo</t>
  </si>
  <si>
    <t>Fuel/Bridge</t>
  </si>
  <si>
    <t>Accom/Life</t>
  </si>
  <si>
    <t>Laser 1/2</t>
  </si>
  <si>
    <t>Laser 3/4</t>
  </si>
  <si>
    <t>Missile 1/2</t>
  </si>
  <si>
    <t>PAW 1/2</t>
  </si>
  <si>
    <t>Meson 1/2</t>
  </si>
  <si>
    <t>Bridge/Comp:</t>
  </si>
  <si>
    <t>Commo:</t>
  </si>
  <si>
    <t>Sensors:</t>
  </si>
  <si>
    <t>ECM:</t>
  </si>
  <si>
    <t>Decoys:</t>
  </si>
  <si>
    <t>Signature:</t>
  </si>
  <si>
    <t>Fuel:</t>
  </si>
  <si>
    <t>Trps/Sci/FWat:</t>
  </si>
  <si>
    <t>H/M/L Pas:</t>
  </si>
  <si>
    <t>Quarters:</t>
  </si>
  <si>
    <t>Cargo:</t>
  </si>
  <si>
    <t>Facilities:</t>
  </si>
  <si>
    <t>Specials:</t>
  </si>
  <si>
    <t>Hangars:</t>
  </si>
  <si>
    <t>Other Craft:</t>
  </si>
  <si>
    <t>Maneuver Gs</t>
  </si>
  <si>
    <t>Evasion Gs</t>
  </si>
  <si>
    <t>Aiming Gs</t>
  </si>
  <si>
    <t>Damage/Notes</t>
  </si>
  <si>
    <t>Hit Chart</t>
  </si>
  <si>
    <t>Damage</t>
  </si>
  <si>
    <t>Surf.  Hits(3d6)</t>
  </si>
  <si>
    <t>Sen. hits (2d6)</t>
  </si>
  <si>
    <t>Int Hits (3d6)</t>
  </si>
  <si>
    <t>Range</t>
  </si>
  <si>
    <t>Dice</t>
  </si>
  <si>
    <t>Evasion Factors</t>
  </si>
  <si>
    <t>D6+DV-Tough.</t>
  </si>
  <si>
    <t>3 Spinal mount</t>
  </si>
  <si>
    <t>2 Commo</t>
  </si>
  <si>
    <t>3-4 Elec/Brdg (C)</t>
  </si>
  <si>
    <t>Impact</t>
  </si>
  <si>
    <t>1d-1</t>
  </si>
  <si>
    <t>&lt;0 - no effect</t>
  </si>
  <si>
    <t xml:space="preserve">     aperature</t>
  </si>
  <si>
    <t>3-4 LIDAR</t>
  </si>
  <si>
    <t>5 Spinal</t>
  </si>
  <si>
    <t>Point Blank</t>
  </si>
  <si>
    <t>1d3</t>
  </si>
  <si>
    <t>0.25x evasion Gs</t>
  </si>
  <si>
    <t>1-3 light</t>
  </si>
  <si>
    <t>4 Bay weapon</t>
  </si>
  <si>
    <t>5-6 AEMS</t>
  </si>
  <si>
    <t>6 Missile mag.</t>
  </si>
  <si>
    <t>VShort</t>
  </si>
  <si>
    <t>1d (Easy)</t>
  </si>
  <si>
    <t>0.5x evasion Gs</t>
  </si>
  <si>
    <t>4-6 Heavy</t>
  </si>
  <si>
    <t>5 Launch port</t>
  </si>
  <si>
    <t>7-9 PEMS</t>
  </si>
  <si>
    <t>7 Turret</t>
  </si>
  <si>
    <t>Short</t>
  </si>
  <si>
    <t>2d (Average)</t>
  </si>
  <si>
    <t>1x evasion Gs</t>
  </si>
  <si>
    <t>7-8 Critical</t>
  </si>
  <si>
    <t>6-8 Turret</t>
  </si>
  <si>
    <t>10-11 ECM</t>
  </si>
  <si>
    <t>8 Bay weap. (C)</t>
  </si>
  <si>
    <t>Medium</t>
  </si>
  <si>
    <t>3d (Formidiable)</t>
  </si>
  <si>
    <t>2x evasion Gs</t>
  </si>
  <si>
    <t>9 2xCritical</t>
  </si>
  <si>
    <t>9-10 Sensor</t>
  </si>
  <si>
    <t>12 Decoy</t>
  </si>
  <si>
    <t>9 Cargo/fittings</t>
  </si>
  <si>
    <t>Long</t>
  </si>
  <si>
    <t>4d (Staggering)</t>
  </si>
  <si>
    <t>3x evasion Gs</t>
  </si>
  <si>
    <t>10 3xCritical</t>
  </si>
  <si>
    <t>11-13 No effect</t>
  </si>
  <si>
    <t>Penetration</t>
  </si>
  <si>
    <t>10 Fuel</t>
  </si>
  <si>
    <t>Extreme</t>
  </si>
  <si>
    <t>5d (Impossible)</t>
  </si>
  <si>
    <t>4x evasion Gs</t>
  </si>
  <si>
    <t>11 4xCritical</t>
  </si>
  <si>
    <t>14 Drop tanks or</t>
  </si>
  <si>
    <t>P&lt;A No pen.</t>
  </si>
  <si>
    <t>11 Quarters</t>
  </si>
  <si>
    <t>Note: Meson weapons double evasion factors.</t>
  </si>
  <si>
    <t>...etc</t>
  </si>
  <si>
    <t xml:space="preserve">     grappled craft</t>
  </si>
  <si>
    <t>P=A DV-3</t>
  </si>
  <si>
    <t>12 Power (C)</t>
  </si>
  <si>
    <t>15-17 Power</t>
  </si>
  <si>
    <t>P=A+1 DV-2</t>
  </si>
  <si>
    <t>13 Maneuver (C)</t>
  </si>
  <si>
    <t xml:space="preserve">     radiator</t>
  </si>
  <si>
    <t>P=A+2 DV-1</t>
  </si>
  <si>
    <t>14 Jump (C)</t>
  </si>
  <si>
    <t>To hit, roll under the target number using the dice from above.</t>
  </si>
  <si>
    <t>18 Weak spot</t>
  </si>
  <si>
    <t>P&gt;A+2 DV</t>
  </si>
  <si>
    <t>15 Hangar (C)</t>
  </si>
  <si>
    <t>Target number:</t>
  </si>
  <si>
    <t>16 Screens (C)</t>
  </si>
  <si>
    <t xml:space="preserve">  Gunnery Skill + Fire Control Rating + ROF Mod + Target Size - Evasion Factor</t>
  </si>
  <si>
    <t>17-18 Special (C)</t>
  </si>
  <si>
    <t>Annual Economic Profile</t>
  </si>
  <si>
    <t>Economic Parameters - per trip</t>
  </si>
  <si>
    <t>Down payment</t>
  </si>
  <si>
    <t>Mnvr salary (monthly)</t>
  </si>
  <si>
    <t>Payment divisor (monthly)</t>
  </si>
  <si>
    <t>Elec salary (monthly)</t>
  </si>
  <si>
    <t>Number of trips per year</t>
  </si>
  <si>
    <t>Engr salary (monthly)</t>
  </si>
  <si>
    <t>Subsidy</t>
  </si>
  <si>
    <t>Main salary (monthly)</t>
  </si>
  <si>
    <t>Maintenance (yearly)</t>
  </si>
  <si>
    <t>Gunn salary (monthly)</t>
  </si>
  <si>
    <t>Refined fuel</t>
  </si>
  <si>
    <t>Scrn salary (monthly)</t>
  </si>
  <si>
    <t>Unrefined fuel</t>
  </si>
  <si>
    <t>Flgt salary (monthly)</t>
  </si>
  <si>
    <t>Life support cost</t>
  </si>
  <si>
    <t>Trps salary (monthly)</t>
  </si>
  <si>
    <t>Berthing cost</t>
  </si>
  <si>
    <t>Cmnd salary (monthly)</t>
  </si>
  <si>
    <t>Freight Price</t>
  </si>
  <si>
    <t>Stew salary (monthly)</t>
  </si>
  <si>
    <t>Sp. cargo %</t>
  </si>
  <si>
    <t>Med salary (monthly)</t>
  </si>
  <si>
    <t>Sp. cargo profit</t>
  </si>
  <si>
    <t>High passage price</t>
  </si>
  <si>
    <t>Mail tonnage used</t>
  </si>
  <si>
    <t>High pass. cargo</t>
  </si>
  <si>
    <t>Mail price</t>
  </si>
  <si>
    <t>Mid. passage price</t>
  </si>
  <si>
    <t>Charter cargo price</t>
  </si>
  <si>
    <t>Mid. pass. cargo</t>
  </si>
  <si>
    <t>Charter room price</t>
  </si>
  <si>
    <t>Low passage price</t>
  </si>
  <si>
    <t>Charter low price</t>
  </si>
  <si>
    <t>Low pass. cargo</t>
  </si>
  <si>
    <t>Purchase Price</t>
  </si>
  <si>
    <t>Down Payment</t>
  </si>
  <si>
    <t>Charter Potential</t>
  </si>
  <si>
    <t>Economic Potential</t>
  </si>
  <si>
    <t>Expenses</t>
  </si>
  <si>
    <t>Full Load</t>
  </si>
  <si>
    <t>80% Load</t>
  </si>
  <si>
    <t>50% Load</t>
  </si>
  <si>
    <t>Ship's Payment</t>
  </si>
  <si>
    <t xml:space="preserve">Maintenance </t>
  </si>
  <si>
    <t>Fuel</t>
  </si>
  <si>
    <t>Salaries</t>
  </si>
  <si>
    <t>Berthing</t>
  </si>
  <si>
    <t>Subtotal</t>
  </si>
  <si>
    <t>Income</t>
  </si>
  <si>
    <t>High Passage</t>
  </si>
  <si>
    <t>Middle Passage</t>
  </si>
  <si>
    <t>Low Passage</t>
  </si>
  <si>
    <t>Freight</t>
  </si>
  <si>
    <t>Speculative Cargo</t>
  </si>
  <si>
    <t>Mail</t>
  </si>
  <si>
    <t>Net Profit/Loss</t>
  </si>
  <si>
    <t>Note: the above profile does does not constitute a guarantee of profit or loss. Actual</t>
  </si>
  <si>
    <t>economic performance of craft is dependent upon a multitude of decisions and factors.</t>
  </si>
  <si>
    <t>The above information is designed to provide a general indication of economic potential</t>
  </si>
  <si>
    <t>of the craft.</t>
  </si>
  <si>
    <t>Power Analysis</t>
  </si>
  <si>
    <t>This sheet provides a breakdown of power use on the ship, in order for the captain to "tweak" power use</t>
  </si>
  <si>
    <t xml:space="preserve">Power Generation </t>
  </si>
  <si>
    <t>Power Use</t>
  </si>
  <si>
    <t>Total Primary Power Generated</t>
  </si>
  <si>
    <t>Power Required for all systems</t>
  </si>
  <si>
    <t>Total Backup Power Available</t>
  </si>
  <si>
    <t>Power Required for maximum jump</t>
  </si>
  <si>
    <t>Total Battery Power Available</t>
  </si>
  <si>
    <t>Power Surplus</t>
  </si>
  <si>
    <t>Component Power Use Breakdown</t>
  </si>
  <si>
    <t>Power Checklist</t>
  </si>
  <si>
    <t>All systems</t>
  </si>
  <si>
    <t>All systems but fuel</t>
  </si>
  <si>
    <t>All systems but fuel &amp; weapons</t>
  </si>
  <si>
    <t>All systems but fuel, weapons, &amp; defences</t>
  </si>
  <si>
    <t>All systems but fuel, weapons, defences,</t>
  </si>
  <si>
    <t>&amp; ECM</t>
  </si>
  <si>
    <t>Stealth (controls, commo, sensors, ECM,</t>
  </si>
  <si>
    <t>ECM</t>
  </si>
  <si>
    <t>life support)</t>
  </si>
  <si>
    <t>Power Plants</t>
  </si>
  <si>
    <t>Jump Drive</t>
  </si>
  <si>
    <t>Battery Use Scenarios (hours)</t>
  </si>
  <si>
    <t>Cargo</t>
  </si>
  <si>
    <t>Weapon time</t>
  </si>
  <si>
    <t>Life Support time</t>
  </si>
  <si>
    <t>Zero-Emission time</t>
  </si>
  <si>
    <t>Accommodations</t>
  </si>
  <si>
    <t>Recharge time - full charge</t>
  </si>
  <si>
    <t>Recharge time - surplus use</t>
  </si>
  <si>
    <t>Deckplan Worksheet</t>
  </si>
  <si>
    <t>The following worksheet is designed to assist the architect in laying out the individual components of the design on</t>
  </si>
  <si>
    <t xml:space="preserve">a deckplan All of the dimensions are suggestions only. It should be noted that most dimensions are rounded to the </t>
  </si>
  <si>
    <t>nearest whole number, so some rounding errors will occur.</t>
  </si>
  <si>
    <t>Deck height, in meters</t>
  </si>
  <si>
    <t>Square size, in meters</t>
  </si>
  <si>
    <t>Normal length, squares</t>
  </si>
  <si>
    <t>Normal width, squares</t>
  </si>
  <si>
    <t>Normal height, decks</t>
  </si>
  <si>
    <t>Perp. length, decks</t>
  </si>
  <si>
    <t>Perp. width, squares</t>
  </si>
  <si>
    <t>Perp. height, squares</t>
  </si>
  <si>
    <t>Engineering Deck</t>
  </si>
  <si>
    <t>Command &amp; Control Deck</t>
  </si>
  <si>
    <t>Gunnery Deck</t>
  </si>
  <si>
    <t>Component</t>
  </si>
  <si>
    <t>Squares</t>
  </si>
  <si>
    <t>Primitive drive</t>
  </si>
  <si>
    <t>Beam MFDs</t>
  </si>
  <si>
    <t>Primitive fuel</t>
  </si>
  <si>
    <t>Missile MFDs</t>
  </si>
  <si>
    <t>Primitive backup</t>
  </si>
  <si>
    <t>Flight computers</t>
  </si>
  <si>
    <t>HEPlaR drive</t>
  </si>
  <si>
    <t xml:space="preserve">Computers </t>
  </si>
  <si>
    <t>HEPlaR fuel</t>
  </si>
  <si>
    <t>Fiber optic computers</t>
  </si>
  <si>
    <t>HEPlaR backup</t>
  </si>
  <si>
    <t>Thruster drive</t>
  </si>
  <si>
    <t>Navigation</t>
  </si>
  <si>
    <t>Thruster backup</t>
  </si>
  <si>
    <t>Avionics</t>
  </si>
  <si>
    <t>Contra-grav drive</t>
  </si>
  <si>
    <t xml:space="preserve">Terrain following </t>
  </si>
  <si>
    <t>Contra-grav backup</t>
  </si>
  <si>
    <t>Radio receiver</t>
  </si>
  <si>
    <t>Jump-drive</t>
  </si>
  <si>
    <t>Radio rec. backup</t>
  </si>
  <si>
    <t>Jump-fuel</t>
  </si>
  <si>
    <t>Radio tranceiver</t>
  </si>
  <si>
    <t>Jump-backup</t>
  </si>
  <si>
    <t>Radio tran. backup</t>
  </si>
  <si>
    <t>Solar Sails</t>
  </si>
  <si>
    <t>Laser commo.</t>
  </si>
  <si>
    <t>Fission power plant</t>
  </si>
  <si>
    <t>Laser com. backup</t>
  </si>
  <si>
    <t>ESA generator</t>
  </si>
  <si>
    <t>Fission fuel</t>
  </si>
  <si>
    <t>Meson commo.</t>
  </si>
  <si>
    <t>ESA backup</t>
  </si>
  <si>
    <t>Backup fission</t>
  </si>
  <si>
    <t>Meson com. backup</t>
  </si>
  <si>
    <t>Force field</t>
  </si>
  <si>
    <t>Fusion power plant</t>
  </si>
  <si>
    <t>Passive scanner</t>
  </si>
  <si>
    <t>Force field backup</t>
  </si>
  <si>
    <t>Fusion fuel</t>
  </si>
  <si>
    <t>Pas. scanner backup</t>
  </si>
  <si>
    <t>Meson screen</t>
  </si>
  <si>
    <t>Fusion backup</t>
  </si>
  <si>
    <t>Passive tracker</t>
  </si>
  <si>
    <t>Meson backup</t>
  </si>
  <si>
    <t>Fusion+ power plant</t>
  </si>
  <si>
    <t>Pas. tracker backup</t>
  </si>
  <si>
    <t>Fusion+ fuel</t>
  </si>
  <si>
    <t>PEMS</t>
  </si>
  <si>
    <t>Damper screen</t>
  </si>
  <si>
    <t>Fusion+ backup</t>
  </si>
  <si>
    <t>PEMS backup</t>
  </si>
  <si>
    <t>Damper backup</t>
  </si>
  <si>
    <t>Fuel cell power plant</t>
  </si>
  <si>
    <t>AEMS</t>
  </si>
  <si>
    <t>Fuel cell fuel</t>
  </si>
  <si>
    <t>AEMS backup</t>
  </si>
  <si>
    <t>Fuel cell backup</t>
  </si>
  <si>
    <t>LIDAR</t>
  </si>
  <si>
    <t>Deck Total</t>
  </si>
  <si>
    <t>Antimatter power plant</t>
  </si>
  <si>
    <t>LIDAR backup</t>
  </si>
  <si>
    <t>Antimatter fuel</t>
  </si>
  <si>
    <t>Densiometer</t>
  </si>
  <si>
    <t>Personnel Deck</t>
  </si>
  <si>
    <t>Antimatter backup</t>
  </si>
  <si>
    <t>Densiometer backup</t>
  </si>
  <si>
    <t>Photoelectric cells</t>
  </si>
  <si>
    <t>Neutrino sensor</t>
  </si>
  <si>
    <t>Batteries</t>
  </si>
  <si>
    <t>Neutrino backup</t>
  </si>
  <si>
    <t>Extra fuel</t>
  </si>
  <si>
    <t>NAS sensor</t>
  </si>
  <si>
    <t>Fuel purification plant</t>
  </si>
  <si>
    <t>NAS backup</t>
  </si>
  <si>
    <t>Purification backup</t>
  </si>
  <si>
    <t>Radio jammer</t>
  </si>
  <si>
    <t>Radio jam. backup</t>
  </si>
  <si>
    <t>Food Storage</t>
  </si>
  <si>
    <t>Area jammer.</t>
  </si>
  <si>
    <t>Area jam. backup</t>
  </si>
  <si>
    <t>Deceptive jammer.</t>
  </si>
  <si>
    <t>Deceptive backup.</t>
  </si>
  <si>
    <t>Passive jammer</t>
  </si>
  <si>
    <t>Spin machinery</t>
  </si>
  <si>
    <t>Passive backup</t>
  </si>
  <si>
    <t>G-comp</t>
  </si>
  <si>
    <t>Decoys</t>
  </si>
  <si>
    <t>Locker</t>
  </si>
  <si>
    <t>Brig</t>
  </si>
  <si>
    <t>Armory</t>
  </si>
  <si>
    <t>Cargo Deck</t>
  </si>
  <si>
    <t>Drop Capsules</t>
  </si>
  <si>
    <t>Fire, Fusion &amp; Steel (v2) Design Worksheet</t>
  </si>
  <si>
    <t>Ship Name</t>
  </si>
  <si>
    <t>name</t>
  </si>
  <si>
    <t>Ship Class</t>
  </si>
  <si>
    <t>class</t>
  </si>
  <si>
    <t>Type</t>
  </si>
  <si>
    <t>type</t>
  </si>
  <si>
    <t>Architect</t>
  </si>
  <si>
    <t>architect</t>
  </si>
  <si>
    <t>Budget</t>
  </si>
  <si>
    <t>Cost Modification</t>
  </si>
  <si>
    <t>Small Craft Mass Mult.</t>
  </si>
  <si>
    <t>Subsidized</t>
  </si>
  <si>
    <t>Classification</t>
  </si>
  <si>
    <t>Use Realistic Thrust</t>
  </si>
  <si>
    <t>Use Waste Space</t>
  </si>
  <si>
    <t xml:space="preserve">Note:  </t>
  </si>
  <si>
    <t>Use ctrl+t to copy the base TL to all component TLs.</t>
  </si>
  <si>
    <t>Base TL</t>
  </si>
  <si>
    <t>Use ctrl+s to save the design in "lightweight" text format.</t>
  </si>
  <si>
    <t>Use ctrl+l to load a "lightweight" text file.</t>
  </si>
  <si>
    <t>TL</t>
  </si>
  <si>
    <t>#</t>
  </si>
  <si>
    <t>Code</t>
  </si>
  <si>
    <t>O1</t>
  </si>
  <si>
    <t>O2</t>
  </si>
  <si>
    <t>O3</t>
  </si>
  <si>
    <t>Notes</t>
  </si>
  <si>
    <t>Volume</t>
  </si>
  <si>
    <t>Mass</t>
  </si>
  <si>
    <t>Area</t>
  </si>
  <si>
    <t>Power</t>
  </si>
  <si>
    <t>Cost</t>
  </si>
  <si>
    <t>Normal Shell</t>
  </si>
  <si>
    <t>Material</t>
  </si>
  <si>
    <t>Shape</t>
  </si>
  <si>
    <t>Streamlining</t>
  </si>
  <si>
    <t>Regime</t>
  </si>
  <si>
    <t>Armor Rating</t>
  </si>
  <si>
    <t>Stealth</t>
  </si>
  <si>
    <t>Coatings</t>
  </si>
  <si>
    <t>Strength (Gs)</t>
  </si>
  <si>
    <t>Dimensions</t>
  </si>
  <si>
    <t>Asteroid Shell</t>
  </si>
  <si>
    <t>Avg. Diameter</t>
  </si>
  <si>
    <t>Primary Primitive Drive</t>
  </si>
  <si>
    <t>Primitive Fuel</t>
  </si>
  <si>
    <t>Backup Primitive</t>
  </si>
  <si>
    <t>Primary HEPlaR</t>
  </si>
  <si>
    <t>HEPlaR Fuel</t>
  </si>
  <si>
    <t>Backup HEPlaR</t>
  </si>
  <si>
    <t>Primary Thrusters</t>
  </si>
  <si>
    <t>Backup Thrusters</t>
  </si>
  <si>
    <t>Primary CG lifters</t>
  </si>
  <si>
    <t>Backup CG Lifters</t>
  </si>
  <si>
    <t>Primary Jump Drive</t>
  </si>
  <si>
    <t>Jump Fuel</t>
  </si>
  <si>
    <t>Backup Jump Drive</t>
  </si>
  <si>
    <t>Drive Armor</t>
  </si>
  <si>
    <t>Empty Turret Sockets</t>
  </si>
  <si>
    <t>Empty Bays</t>
  </si>
  <si>
    <t>Laser Battery 1</t>
  </si>
  <si>
    <t>Laser Battery 2</t>
  </si>
  <si>
    <t>Laser Battery 3</t>
  </si>
  <si>
    <t>Laser Battery 4</t>
  </si>
  <si>
    <t>Missile Weapon 1</t>
  </si>
  <si>
    <t>Missile Weapon 2</t>
  </si>
  <si>
    <t>Particle Weapon 1</t>
  </si>
  <si>
    <t>Particle Weapon 2</t>
  </si>
  <si>
    <t>Meson Weapon 1</t>
  </si>
  <si>
    <t>Meson Weapon 2</t>
  </si>
  <si>
    <t>Electrostatic Armor</t>
  </si>
  <si>
    <t>Accumulator</t>
  </si>
  <si>
    <t>Backup ESA</t>
  </si>
  <si>
    <t>Force Field</t>
  </si>
  <si>
    <t>Backup Force Field</t>
  </si>
  <si>
    <t>Meson Screen</t>
  </si>
  <si>
    <t>Backup Meson Scr</t>
  </si>
  <si>
    <t>Damper Turrets</t>
  </si>
  <si>
    <t>Beam Pointer</t>
  </si>
  <si>
    <t>Damper Screen</t>
  </si>
  <si>
    <t>Backup Damper Scr</t>
  </si>
  <si>
    <t>Sand. Dispensers</t>
  </si>
  <si>
    <t>Gravtics</t>
  </si>
  <si>
    <t>Defenses Armor</t>
  </si>
  <si>
    <t>Flight Computers</t>
  </si>
  <si>
    <t>Computers</t>
  </si>
  <si>
    <t>Fibre Optic Computers</t>
  </si>
  <si>
    <t>Automation Level</t>
  </si>
  <si>
    <t>Control Systems</t>
  </si>
  <si>
    <t>Navigation Aids</t>
  </si>
  <si>
    <t>Flight Avionics</t>
  </si>
  <si>
    <t>Terrain Following</t>
  </si>
  <si>
    <t>Controls Armor</t>
  </si>
  <si>
    <t>Radio Receiver</t>
  </si>
  <si>
    <t>Backup Radio Rec.</t>
  </si>
  <si>
    <t>Radio Transceiver</t>
  </si>
  <si>
    <t>Backup Radio Trans.</t>
  </si>
  <si>
    <t>Laser Commo</t>
  </si>
  <si>
    <t>Backup Laser Com.</t>
  </si>
  <si>
    <t>Meson Commo</t>
  </si>
  <si>
    <t>Backup Meson Com.</t>
  </si>
  <si>
    <t>Commo Armor</t>
  </si>
  <si>
    <t>Passive Scanner</t>
  </si>
  <si>
    <t>Backup Pas. Scan.</t>
  </si>
  <si>
    <t>Passive Tracker</t>
  </si>
  <si>
    <t>Backup Pas. Track.</t>
  </si>
  <si>
    <t>Passive EMS Array</t>
  </si>
  <si>
    <t>Backup Pas. Arr.</t>
  </si>
  <si>
    <t>Active Sensor</t>
  </si>
  <si>
    <t>Backup Act. Arr.</t>
  </si>
  <si>
    <t>Backup LIDAR</t>
  </si>
  <si>
    <t>Backup Dens.</t>
  </si>
  <si>
    <t>Neutrino Sensor</t>
  </si>
  <si>
    <t>Backup Neu. Sen.</t>
  </si>
  <si>
    <t>Neural Activity Sensor</t>
  </si>
  <si>
    <t>Backup NAS</t>
  </si>
  <si>
    <t>Sensors Armor</t>
  </si>
  <si>
    <t>Radio Jammer</t>
  </si>
  <si>
    <t>Backup Radio Jam.</t>
  </si>
  <si>
    <t>Area Active Jammer</t>
  </si>
  <si>
    <t>Backup Area Jam.</t>
  </si>
  <si>
    <t>Decp. Active Jammer</t>
  </si>
  <si>
    <t>Backup Decp. Jam.</t>
  </si>
  <si>
    <t>Passive Jammer</t>
  </si>
  <si>
    <t>Backup Passive Jam.</t>
  </si>
  <si>
    <t>Pas. Decoy Dispenser</t>
  </si>
  <si>
    <t>Act. Decoy Dispenser</t>
  </si>
  <si>
    <t>LIDAR Decoy Disp.</t>
  </si>
  <si>
    <t>ECM Armor</t>
  </si>
  <si>
    <t>Fission Plant</t>
  </si>
  <si>
    <t>Fission Fuel</t>
  </si>
  <si>
    <t>Backup Fission Plant</t>
  </si>
  <si>
    <t>Fusion Plant</t>
  </si>
  <si>
    <t>Fusion Fuel</t>
  </si>
  <si>
    <t>Backup Fusion Plant</t>
  </si>
  <si>
    <t>Fusion+ Plant</t>
  </si>
  <si>
    <t>Fusion+ Fuel</t>
  </si>
  <si>
    <t>Backup Fusion+ Plant</t>
  </si>
  <si>
    <t>Fuel Cells</t>
  </si>
  <si>
    <t>Fuel Cell Fuel</t>
  </si>
  <si>
    <t>Back Fuel Cells</t>
  </si>
  <si>
    <t>Antimatter Planet</t>
  </si>
  <si>
    <t>Antimatter Fuel</t>
  </si>
  <si>
    <t>Backup Anti. Plant</t>
  </si>
  <si>
    <t>Photoelectric Cells</t>
  </si>
  <si>
    <t>Drive Masking System</t>
  </si>
  <si>
    <t>Neutrino Masking</t>
  </si>
  <si>
    <t>Power Plant Armor</t>
  </si>
  <si>
    <t>Minimal Hangar</t>
  </si>
  <si>
    <t>Spacious Hangar</t>
  </si>
  <si>
    <t>Docking Ring</t>
  </si>
  <si>
    <t>Jettison Bay</t>
  </si>
  <si>
    <t>Launch Tube</t>
  </si>
  <si>
    <t>External Grapple</t>
  </si>
  <si>
    <t>Hangar Armor</t>
  </si>
  <si>
    <t>Electronics Shop</t>
  </si>
  <si>
    <t>Machine Shop</t>
  </si>
  <si>
    <t>Laboratory</t>
  </si>
  <si>
    <t>Sickbay</t>
  </si>
  <si>
    <t>Ship's Locker</t>
  </si>
  <si>
    <t>LowSec Brig</t>
  </si>
  <si>
    <t>MedSec Brig</t>
  </si>
  <si>
    <t>HiSec Brig</t>
  </si>
  <si>
    <t>Gym</t>
  </si>
  <si>
    <t>Other</t>
  </si>
  <si>
    <t>Special</t>
  </si>
  <si>
    <t>Docking Umbilical</t>
  </si>
  <si>
    <t>Misc Armor</t>
  </si>
  <si>
    <t>Internal Bay</t>
  </si>
  <si>
    <t>Large Cargo Doors</t>
  </si>
  <si>
    <t>Small Cargo Doors</t>
  </si>
  <si>
    <t>Cargo Handling Equip</t>
  </si>
  <si>
    <t>Custom Cargo Doors</t>
  </si>
  <si>
    <t>External Pod Grapples</t>
  </si>
  <si>
    <t>Cargo Armor</t>
  </si>
  <si>
    <t>Extra H2 Fuel</t>
  </si>
  <si>
    <t>Drop Tank Grapples</t>
  </si>
  <si>
    <t>Scoops</t>
  </si>
  <si>
    <t>Purification</t>
  </si>
  <si>
    <t>Backup Purif.</t>
  </si>
  <si>
    <t>Fuel System Armor</t>
  </si>
  <si>
    <t>Crew &amp; Passengers</t>
  </si>
  <si>
    <t>Maneuvering</t>
  </si>
  <si>
    <t>Engineering</t>
  </si>
  <si>
    <t>Maintenance</t>
  </si>
  <si>
    <t>Gunnery</t>
  </si>
  <si>
    <t>Screens</t>
  </si>
  <si>
    <t xml:space="preserve">Flight </t>
  </si>
  <si>
    <t>Ship's Troops</t>
  </si>
  <si>
    <t>Command</t>
  </si>
  <si>
    <t>Stewards</t>
  </si>
  <si>
    <t>Frozen Watch</t>
  </si>
  <si>
    <t xml:space="preserve">Medical </t>
  </si>
  <si>
    <t>Extra Troops</t>
  </si>
  <si>
    <t>Science/Mission</t>
  </si>
  <si>
    <t>Total Regular Crew</t>
  </si>
  <si>
    <t>Total Crew</t>
  </si>
  <si>
    <t>High passengers</t>
  </si>
  <si>
    <t>Middle passengers</t>
  </si>
  <si>
    <t>Low passengers</t>
  </si>
  <si>
    <t>Total Personnel</t>
  </si>
  <si>
    <t xml:space="preserve">Normal </t>
  </si>
  <si>
    <t>Bridge</t>
  </si>
  <si>
    <t>Bridge Armor</t>
  </si>
  <si>
    <t>Seat, restricted</t>
  </si>
  <si>
    <t>Seat, cramped</t>
  </si>
  <si>
    <t>Seat, adequate</t>
  </si>
  <si>
    <t>Seat, roomy</t>
  </si>
  <si>
    <t>Bunk</t>
  </si>
  <si>
    <t>Low berth</t>
  </si>
  <si>
    <t>Emergency low berth</t>
  </si>
  <si>
    <t>Small stateroom</t>
  </si>
  <si>
    <t>Large stateroom</t>
  </si>
  <si>
    <t>Sanitary facilities</t>
  </si>
  <si>
    <t>Accomod. Armor</t>
  </si>
  <si>
    <t>Basic Life Support</t>
  </si>
  <si>
    <t>Endurance LS</t>
  </si>
  <si>
    <t>Airlocks</t>
  </si>
  <si>
    <t>Decomination Airlocks</t>
  </si>
  <si>
    <t>Food</t>
  </si>
  <si>
    <t>Ordinary Galley</t>
  </si>
  <si>
    <t>Full Galley</t>
  </si>
  <si>
    <t>G-Tank, Passenger</t>
  </si>
  <si>
    <t>G-Tank, Crew</t>
  </si>
  <si>
    <t>Double Hull Gravity</t>
  </si>
  <si>
    <t>Spin Capsule</t>
  </si>
  <si>
    <t>G-Plates &amp; Comp</t>
  </si>
  <si>
    <t>Life Support Armor</t>
  </si>
  <si>
    <t>Crew</t>
  </si>
  <si>
    <t>Subtotals</t>
  </si>
  <si>
    <t>Remaining</t>
  </si>
  <si>
    <t>Laser Battery #1</t>
  </si>
  <si>
    <t>Weapon Name</t>
  </si>
  <si>
    <t>Turret</t>
  </si>
  <si>
    <t>Weapon Design</t>
  </si>
  <si>
    <t>Focal Array Mount</t>
  </si>
  <si>
    <t>Focal Array Diameter</t>
  </si>
  <si>
    <t>Focal Array Length</t>
  </si>
  <si>
    <t>Focal Array Type</t>
  </si>
  <si>
    <t>Discharge Energy</t>
  </si>
  <si>
    <t>Effective Range</t>
  </si>
  <si>
    <t>Targeting Range</t>
  </si>
  <si>
    <t>Focusing Type</t>
  </si>
  <si>
    <t>Crewstation present</t>
  </si>
  <si>
    <t>MFD Present</t>
  </si>
  <si>
    <t>Number of lasers</t>
  </si>
  <si>
    <t>Rate of fire</t>
  </si>
  <si>
    <t>Point Defence ROF</t>
  </si>
  <si>
    <t>Weapon Armor</t>
  </si>
  <si>
    <t>Buffer Space</t>
  </si>
  <si>
    <t>Weapon Performance</t>
  </si>
  <si>
    <t>USP</t>
  </si>
  <si>
    <t>CUSP</t>
  </si>
  <si>
    <t>Intensity, Very Short Range</t>
  </si>
  <si>
    <t>Intensity, Short Range</t>
  </si>
  <si>
    <t>Intensity, Medium Range</t>
  </si>
  <si>
    <t>Intensity, Long Range</t>
  </si>
  <si>
    <t>Intensity, Extreme Range</t>
  </si>
  <si>
    <t>Weapon Components</t>
  </si>
  <si>
    <t>Price</t>
  </si>
  <si>
    <t>Focal Array</t>
  </si>
  <si>
    <t>Point Defence Batteries</t>
  </si>
  <si>
    <t xml:space="preserve">Crewstation  </t>
  </si>
  <si>
    <t xml:space="preserve">MFD  </t>
  </si>
  <si>
    <t>Battery Design</t>
  </si>
  <si>
    <t>Number of weapons</t>
  </si>
  <si>
    <t>Crewstation Present</t>
  </si>
  <si>
    <t>Battery Performance</t>
  </si>
  <si>
    <t>Battery Components</t>
  </si>
  <si>
    <t xml:space="preserve">Crewstation </t>
  </si>
  <si>
    <t>Battery Totals</t>
  </si>
  <si>
    <t>Unit Volume:</t>
  </si>
  <si>
    <t>Unit Mass:</t>
  </si>
  <si>
    <t>Unit Area:</t>
  </si>
  <si>
    <t>Unit Power:</t>
  </si>
  <si>
    <t>Unit Price:</t>
  </si>
  <si>
    <t>Unit Crew:</t>
  </si>
  <si>
    <t>Laser Battery #2</t>
  </si>
  <si>
    <t>Heavy Laser Turret</t>
  </si>
  <si>
    <t>Laser Battery #3</t>
  </si>
  <si>
    <t>Light Laser Bay</t>
  </si>
  <si>
    <t>Laser Battery #4</t>
  </si>
  <si>
    <t>Heavy Laser Bay</t>
  </si>
  <si>
    <t>Missile System #1</t>
  </si>
  <si>
    <t>System Name</t>
  </si>
  <si>
    <t>Missile Turret</t>
  </si>
  <si>
    <t>Use Standard Missiles</t>
  </si>
  <si>
    <t>Design Displacement (m3)</t>
  </si>
  <si>
    <t>Design Diameter</t>
  </si>
  <si>
    <t>Design Area</t>
  </si>
  <si>
    <t>Design Budget</t>
  </si>
  <si>
    <t>Missile Components</t>
  </si>
  <si>
    <t>Systems</t>
  </si>
  <si>
    <t>Cd</t>
  </si>
  <si>
    <t>Nuclear Det-Laser Warhead</t>
  </si>
  <si>
    <t>Guidance</t>
  </si>
  <si>
    <t>Active Jammer</t>
  </si>
  <si>
    <t>Decoy Dispenser</t>
  </si>
  <si>
    <t>Propulsion</t>
  </si>
  <si>
    <t>Nuclear Drive</t>
  </si>
  <si>
    <t>Fusion/HePLAR</t>
  </si>
  <si>
    <t>Thruster</t>
  </si>
  <si>
    <t>Contra grav</t>
  </si>
  <si>
    <t>Antimatter Plant</t>
  </si>
  <si>
    <t>Missile Performance</t>
  </si>
  <si>
    <t>Launcher Design</t>
  </si>
  <si>
    <t>Number of launchers</t>
  </si>
  <si>
    <t>Magazine Size per launcher</t>
  </si>
  <si>
    <t>Crew Station Present</t>
  </si>
  <si>
    <t>MFD Range</t>
  </si>
  <si>
    <t>Number of Missiles Controlled</t>
  </si>
  <si>
    <t>Salvo Size</t>
  </si>
  <si>
    <t>Buffer Size</t>
  </si>
  <si>
    <t>Launcher Components</t>
  </si>
  <si>
    <t>Vol</t>
  </si>
  <si>
    <t>Launcher mechanism</t>
  </si>
  <si>
    <t>Magazine</t>
  </si>
  <si>
    <t>Crew Station</t>
  </si>
  <si>
    <t>MFD</t>
  </si>
  <si>
    <t>Launcher Performance</t>
  </si>
  <si>
    <t>Missile Magazine</t>
  </si>
  <si>
    <t>Unit Totals</t>
  </si>
  <si>
    <t>Unit Volume</t>
  </si>
  <si>
    <t>Unit Mass</t>
  </si>
  <si>
    <t>Unit Area</t>
  </si>
  <si>
    <t>Unit Power</t>
  </si>
  <si>
    <t>Unit Price</t>
  </si>
  <si>
    <t>Unit Crew</t>
  </si>
  <si>
    <t>Missile System #2</t>
  </si>
  <si>
    <t>Missile</t>
  </si>
  <si>
    <t>Warhead</t>
  </si>
  <si>
    <t>Particle Weapon #1</t>
  </si>
  <si>
    <t>Light Spinal PA</t>
  </si>
  <si>
    <t>Design</t>
  </si>
  <si>
    <t>Mount</t>
  </si>
  <si>
    <t>Tunnel/Path Length</t>
  </si>
  <si>
    <t>Torus Radius</t>
  </si>
  <si>
    <t>Tunnel Diameter</t>
  </si>
  <si>
    <t>Discharge/Lap Energy</t>
  </si>
  <si>
    <t>Number of Laps</t>
  </si>
  <si>
    <t>Weapon Crew</t>
  </si>
  <si>
    <t>ROF</t>
  </si>
  <si>
    <t>Tunnel</t>
  </si>
  <si>
    <t>Particle Weapon #2</t>
  </si>
  <si>
    <t>Heavy Spinal PA</t>
  </si>
  <si>
    <t>Meson Weapon #1</t>
  </si>
  <si>
    <t>Light Spinal Meson</t>
  </si>
  <si>
    <t>Tunnel Length</t>
  </si>
  <si>
    <t>Meson Weapon #2</t>
  </si>
  <si>
    <t>Heavy Spinal Meson</t>
  </si>
  <si>
    <t>USP Table</t>
  </si>
  <si>
    <t>Hull Information:</t>
  </si>
  <si>
    <t>Max TL</t>
  </si>
  <si>
    <t>Ship Volume</t>
  </si>
  <si>
    <t>Min TL</t>
  </si>
  <si>
    <t>Ship Area</t>
  </si>
  <si>
    <t>Base Maint Points</t>
  </si>
  <si>
    <t>Atmosphere Total Thrust</t>
  </si>
  <si>
    <t>Base Hull Diameter:</t>
  </si>
  <si>
    <t>Total mass, loaded</t>
  </si>
  <si>
    <t>Loaded Acceleration</t>
  </si>
  <si>
    <t>Base Hull Area</t>
  </si>
  <si>
    <t>Total mass, clean</t>
  </si>
  <si>
    <t>Loaded</t>
  </si>
  <si>
    <t>Clean</t>
  </si>
  <si>
    <t>Clean Accleration</t>
  </si>
  <si>
    <t>Base Hull Factor</t>
  </si>
  <si>
    <t>Primary Primitive Type</t>
  </si>
  <si>
    <t>Max Loaded Speed</t>
  </si>
  <si>
    <t>Base Hull TL</t>
  </si>
  <si>
    <t>Primary Primitive Thrust</t>
  </si>
  <si>
    <t>Max Clean Speed</t>
  </si>
  <si>
    <t>Base Hull Toughness</t>
  </si>
  <si>
    <t>Primary Primitive Volume/Thrust</t>
  </si>
  <si>
    <t>Cruising Loaded Speed</t>
  </si>
  <si>
    <t>Base Hull Density</t>
  </si>
  <si>
    <t>Primary Primitive Fuel</t>
  </si>
  <si>
    <t>Cruising Clean Speed</t>
  </si>
  <si>
    <t>Base Hull Price</t>
  </si>
  <si>
    <t>Primary Primitive Price</t>
  </si>
  <si>
    <t>Base Hull Power</t>
  </si>
  <si>
    <t>Secondary Primitive Thrust</t>
  </si>
  <si>
    <t>Base Shape Surface Mod</t>
  </si>
  <si>
    <t>Secondary Primitive Volume/Thrust</t>
  </si>
  <si>
    <t>Base Shape USL Price Mod</t>
  </si>
  <si>
    <t>Seconary Primitive Fuel</t>
  </si>
  <si>
    <t>Base Shape SL Price Mod</t>
  </si>
  <si>
    <t>Secondary Primitive Price</t>
  </si>
  <si>
    <t>Base Shape AF Price Mod</t>
  </si>
  <si>
    <t>Primary HEPlaR Thrust</t>
  </si>
  <si>
    <t>Base Shape Length Mod</t>
  </si>
  <si>
    <t>Secondary HEPlaR Thrust</t>
  </si>
  <si>
    <t>Base Shape Width Mod</t>
  </si>
  <si>
    <t>Primary Thruster Thrust</t>
  </si>
  <si>
    <t>Base Shape Height Mod</t>
  </si>
  <si>
    <t>Secondary Thruster Thrust</t>
  </si>
  <si>
    <t>Base Shape Waste Volume</t>
  </si>
  <si>
    <t>Primary CG Thrust</t>
  </si>
  <si>
    <t>Base Shape Waste Area</t>
  </si>
  <si>
    <t>Secondary CG Thrust</t>
  </si>
  <si>
    <t>Base Shape Price Multiplier</t>
  </si>
  <si>
    <t>Total fuel tankage</t>
  </si>
  <si>
    <t>Base Hull Thickness</t>
  </si>
  <si>
    <t>Base Purification size</t>
  </si>
  <si>
    <t>Stealth Volume Modifer</t>
  </si>
  <si>
    <t>Backup Purification size</t>
  </si>
  <si>
    <t>Stealth Area Modifier</t>
  </si>
  <si>
    <t>Base purification minimum</t>
  </si>
  <si>
    <t>Base Length</t>
  </si>
  <si>
    <t>Backup purification minimum</t>
  </si>
  <si>
    <t>Base Width</t>
  </si>
  <si>
    <t xml:space="preserve">Actual Base Purifcation Size </t>
  </si>
  <si>
    <t>Base Height</t>
  </si>
  <si>
    <t xml:space="preserve">Actual Backup Purifcation Size </t>
  </si>
  <si>
    <t>Waste Space</t>
  </si>
  <si>
    <t>Actual Base Purification Time</t>
  </si>
  <si>
    <t>Asteroid Diameter</t>
  </si>
  <si>
    <t>Actual Backup Purification Time</t>
  </si>
  <si>
    <t>Asteroid Area</t>
  </si>
  <si>
    <t>Base Purification Tankage</t>
  </si>
  <si>
    <t>Asteroid Factor</t>
  </si>
  <si>
    <t>Backup Purification Tankage</t>
  </si>
  <si>
    <t>Asteroid Toughness</t>
  </si>
  <si>
    <t>Base Purification Mass</t>
  </si>
  <si>
    <t>Asteroid Density</t>
  </si>
  <si>
    <t>Backup Purification Mass</t>
  </si>
  <si>
    <t>Asteroid Price</t>
  </si>
  <si>
    <t>Base Purification Power</t>
  </si>
  <si>
    <t>Asteroid Armor Thickness</t>
  </si>
  <si>
    <t>Backup Purification Power</t>
  </si>
  <si>
    <t>Asteroid Remaining Volume</t>
  </si>
  <si>
    <t>Base Purification Price</t>
  </si>
  <si>
    <t>Asteroid Max Gs</t>
  </si>
  <si>
    <t>Backup Purification Price</t>
  </si>
  <si>
    <t>Largest Dimension</t>
  </si>
  <si>
    <t>Drive Volume</t>
  </si>
  <si>
    <t>Drive Area</t>
  </si>
  <si>
    <t>Defences Volume</t>
  </si>
  <si>
    <t>Defences Area</t>
  </si>
  <si>
    <t>Computers Volume</t>
  </si>
  <si>
    <t>Computers Area</t>
  </si>
  <si>
    <t>Communications Volume</t>
  </si>
  <si>
    <t>Communications Area</t>
  </si>
  <si>
    <t>Sensors Volume</t>
  </si>
  <si>
    <t>Sensors Area</t>
  </si>
  <si>
    <t>ECM Volume</t>
  </si>
  <si>
    <t>ECM Area</t>
  </si>
  <si>
    <t>Power Plant Volume</t>
  </si>
  <si>
    <t>Power Plant Area</t>
  </si>
  <si>
    <t>Hangar Volume</t>
  </si>
  <si>
    <t>Hangar Area</t>
  </si>
  <si>
    <t>Misc Volume</t>
  </si>
  <si>
    <t>Misc Area</t>
  </si>
  <si>
    <t>Cargo Volume</t>
  </si>
  <si>
    <t>Cargo Area</t>
  </si>
  <si>
    <t>Fuel Volume</t>
  </si>
  <si>
    <t>Fuel Area</t>
  </si>
  <si>
    <t>Toughness Table</t>
  </si>
  <si>
    <t>Bridge Volume</t>
  </si>
  <si>
    <t>Bridge Area</t>
  </si>
  <si>
    <t>Accom Volume</t>
  </si>
  <si>
    <t>Accom Area</t>
  </si>
  <si>
    <t>LS Volume</t>
  </si>
  <si>
    <t>LS Area</t>
  </si>
  <si>
    <t>Primitive Thrust Volume Table</t>
  </si>
  <si>
    <t>Primitive Thrust Fuel Table</t>
  </si>
  <si>
    <t>Size Table</t>
  </si>
  <si>
    <t>Primitive Thrust Price Table</t>
  </si>
  <si>
    <t>Combat USD Table</t>
  </si>
  <si>
    <t>Beam Pointer Table</t>
  </si>
  <si>
    <t>MFD Table</t>
  </si>
  <si>
    <t>Computer Volume Table</t>
  </si>
  <si>
    <t>CM</t>
  </si>
  <si>
    <t>CUSP PD</t>
  </si>
  <si>
    <t>Best Computer CM:</t>
  </si>
  <si>
    <t>ROF Table</t>
  </si>
  <si>
    <t>Radio</t>
  </si>
  <si>
    <t xml:space="preserve">Laser Commo </t>
  </si>
  <si>
    <t>Salvo Table</t>
  </si>
  <si>
    <t>Black Globe Table</t>
  </si>
  <si>
    <t>Passive Scanners</t>
  </si>
  <si>
    <t>Passive Trackers</t>
  </si>
  <si>
    <t>Missile Range Table</t>
  </si>
  <si>
    <t>N/A</t>
  </si>
  <si>
    <t>Med.</t>
  </si>
  <si>
    <t>Extr.</t>
  </si>
  <si>
    <t>Passive Arrays</t>
  </si>
  <si>
    <t>Laser Weapon 1</t>
  </si>
  <si>
    <t>Input Energy</t>
  </si>
  <si>
    <t>Focal Value</t>
  </si>
  <si>
    <t>ROF Mutiplier</t>
  </si>
  <si>
    <t>PD Input Energy</t>
  </si>
  <si>
    <t>Weapon Volume</t>
  </si>
  <si>
    <t>Weapon Area</t>
  </si>
  <si>
    <t>Damage at Short</t>
  </si>
  <si>
    <t>Damage at Medium</t>
  </si>
  <si>
    <t>Damage at Long</t>
  </si>
  <si>
    <t>Damage at Extreme</t>
  </si>
  <si>
    <t>CUSP Dam/Pen at VShort</t>
  </si>
  <si>
    <t>CUSP Dam/Pen at Short</t>
  </si>
  <si>
    <t>CUSP Dam/Pen at Medium</t>
  </si>
  <si>
    <t>CUSP Dam/Pen at Long</t>
  </si>
  <si>
    <t>CUSP Dam/Pen at Extreme</t>
  </si>
  <si>
    <t>CUSP ROF Bonus/Penalty</t>
  </si>
  <si>
    <t>CUSP PD Rating</t>
  </si>
  <si>
    <t>CUSP Battery PD Rating</t>
  </si>
  <si>
    <t>Laser Weapon 2</t>
  </si>
  <si>
    <t>Laser Weapon 3</t>
  </si>
  <si>
    <t>Laser Weapon 4</t>
  </si>
  <si>
    <t>Missile Short Range Warheads</t>
  </si>
  <si>
    <t>Missile Long Range Warheads</t>
  </si>
  <si>
    <t>Missile 1 Nuclear Thrust</t>
  </si>
  <si>
    <t>Missile 1 Heplar Thrust</t>
  </si>
  <si>
    <t>Missile 1 Thruster Thrust</t>
  </si>
  <si>
    <t>Missile 1 Contra-grav Thrust</t>
  </si>
  <si>
    <t>Missile 1 Total Thrust</t>
  </si>
  <si>
    <t>Missile 1 MFDs Needed</t>
  </si>
  <si>
    <t>Missile 1 Launcher Vol</t>
  </si>
  <si>
    <t>Missile 1 Launcher Area</t>
  </si>
  <si>
    <t>Missile 1 Guidance</t>
  </si>
  <si>
    <t>Missile 1 Max Salvo Size</t>
  </si>
  <si>
    <t>Missile 1 Size Code</t>
  </si>
  <si>
    <t>Missile 1 Evasion Gs</t>
  </si>
  <si>
    <t>Missile 1 Evasion Bonus</t>
  </si>
  <si>
    <t>Missile 1 size/evade</t>
  </si>
  <si>
    <t>Missile 1 Loaded Acceleration</t>
  </si>
  <si>
    <t>G-Turns 1</t>
  </si>
  <si>
    <t>G-Turns 2</t>
  </si>
  <si>
    <t>Missile 1 G-Turns</t>
  </si>
  <si>
    <t>Missile 1 Max Range</t>
  </si>
  <si>
    <t>Missile 1 Speed Class</t>
  </si>
  <si>
    <t>Missile 1 Power Plants</t>
  </si>
  <si>
    <t>Min</t>
  </si>
  <si>
    <t>Normal</t>
  </si>
  <si>
    <t>x10</t>
  </si>
  <si>
    <t>x100</t>
  </si>
  <si>
    <t>x1000</t>
  </si>
  <si>
    <t>x10000</t>
  </si>
  <si>
    <t>x100000</t>
  </si>
  <si>
    <t>Fission</t>
  </si>
  <si>
    <t>Fusion</t>
  </si>
  <si>
    <t>Fusion+</t>
  </si>
  <si>
    <t>Fuel Cell</t>
  </si>
  <si>
    <t>Antimatter</t>
  </si>
  <si>
    <t>Missile 2 Nuclear Thrust</t>
  </si>
  <si>
    <t>Missile 2 Heplar Thrust</t>
  </si>
  <si>
    <t>Missile 2 Thruster Thrust</t>
  </si>
  <si>
    <t>Missile 2 Contra-grav Thrust</t>
  </si>
  <si>
    <t>Missile 2 Total Thrust</t>
  </si>
  <si>
    <t>Missile 2 MFDs Needed</t>
  </si>
  <si>
    <t>Missile 2 Launcher Vol</t>
  </si>
  <si>
    <t>Missile 2 Launcher Area</t>
  </si>
  <si>
    <t>Missile 2 Guidance</t>
  </si>
  <si>
    <t>Missile 2 Max Salvo Size</t>
  </si>
  <si>
    <t>Missile 2 Size Code</t>
  </si>
  <si>
    <t>Missile 2 Evasion Gs</t>
  </si>
  <si>
    <t>Missile 2 Evasion Bonus</t>
  </si>
  <si>
    <t>Missile 2 size/evade</t>
  </si>
  <si>
    <t>Missile 2 Loaded Acceleration</t>
  </si>
  <si>
    <t>Missile 2 Max Range</t>
  </si>
  <si>
    <t>Missile 2 Speed Class</t>
  </si>
  <si>
    <t>Missile 2 Power Plants</t>
  </si>
  <si>
    <t>PA 1</t>
  </si>
  <si>
    <t>Tunnel Area</t>
  </si>
  <si>
    <t>Effective Tunnel Length</t>
  </si>
  <si>
    <t>Effective Focal Area</t>
  </si>
  <si>
    <t>Damage Modifer</t>
  </si>
  <si>
    <t>Theoretical Effective Range</t>
  </si>
  <si>
    <t>PA 1 Volume</t>
  </si>
  <si>
    <t>PA 1 Area</t>
  </si>
  <si>
    <t>PA 2</t>
  </si>
  <si>
    <t>PA 2 Volume</t>
  </si>
  <si>
    <t>PA 2 Area</t>
  </si>
  <si>
    <t>Meson 1</t>
  </si>
  <si>
    <t>Tunnel Volume</t>
  </si>
  <si>
    <t>Meson 1 Vol</t>
  </si>
  <si>
    <t>Meson 1 Area</t>
  </si>
  <si>
    <t>Meson 2</t>
  </si>
  <si>
    <t>ESA</t>
  </si>
  <si>
    <t>ESA Size Modifer</t>
  </si>
  <si>
    <t>ESA Mjs</t>
  </si>
  <si>
    <t>Backup ESA Mjs</t>
  </si>
  <si>
    <t>Meson Screens</t>
  </si>
  <si>
    <t>Meson Size Modifer</t>
  </si>
  <si>
    <t>Primary Meson Scr TL Mod</t>
  </si>
  <si>
    <t>Primary Meson Scr Power Req</t>
  </si>
  <si>
    <t>Backup Meson Scr TL Mod</t>
  </si>
  <si>
    <t>Backup Meson Scr Power Req</t>
  </si>
  <si>
    <t>Primary Meson Scr Crew</t>
  </si>
  <si>
    <t>Damper Turret Range Class</t>
  </si>
  <si>
    <t>Damper Screens</t>
  </si>
  <si>
    <t>Damper Size Modifier</t>
  </si>
  <si>
    <t>Primary Damper Scr TL Mod</t>
  </si>
  <si>
    <t>Primary Damper Scr Power</t>
  </si>
  <si>
    <t>Backup Damper Scr TL Mod</t>
  </si>
  <si>
    <t>Backup Damper Scr Power</t>
  </si>
  <si>
    <t>Primary Damper Scr Crew</t>
  </si>
  <si>
    <t>Sand Screen Table</t>
  </si>
  <si>
    <t>Sancasters</t>
  </si>
  <si>
    <t>Base Sancaster AV</t>
  </si>
  <si>
    <t>Canister Volume Required</t>
  </si>
  <si>
    <t>Total Ready Canister Vol</t>
  </si>
  <si>
    <t>Launcher Volume</t>
  </si>
  <si>
    <t>Launcher Mass</t>
  </si>
  <si>
    <t>Launcher Price</t>
  </si>
  <si>
    <t>Unit Vol</t>
  </si>
  <si>
    <t>Canister Area</t>
  </si>
  <si>
    <t>Tractors/Repulsors/Manipulators</t>
  </si>
  <si>
    <t>Tractor Range Class</t>
  </si>
  <si>
    <t>Backup Fission</t>
  </si>
  <si>
    <t>Backup Fusion</t>
  </si>
  <si>
    <t>Backup Fusion+</t>
  </si>
  <si>
    <t>Backup Fuel Cell</t>
  </si>
  <si>
    <t>Backup Antimatter</t>
  </si>
  <si>
    <t>IR Signature Table</t>
  </si>
  <si>
    <t>USP Data</t>
  </si>
  <si>
    <t>Total Power Output</t>
  </si>
  <si>
    <t>Non-Combat Power</t>
  </si>
  <si>
    <t>Minimal Power Output</t>
  </si>
  <si>
    <t>Visible Signature</t>
  </si>
  <si>
    <t>IR Signature, Full Power</t>
  </si>
  <si>
    <t>IR Signature, Non Combat</t>
  </si>
  <si>
    <t>IR Signature, Minimal Power</t>
  </si>
  <si>
    <t>Active Signature</t>
  </si>
  <si>
    <t>Neutrino Signature</t>
  </si>
  <si>
    <t>Gravity Signature</t>
  </si>
  <si>
    <t>LIDAR Signature</t>
  </si>
  <si>
    <t>Fission power</t>
  </si>
  <si>
    <t>Fusion power</t>
  </si>
  <si>
    <t>Fusion+ power</t>
  </si>
  <si>
    <t>Fuel Cell power</t>
  </si>
  <si>
    <t>Anitmatter power</t>
  </si>
  <si>
    <t>Photocell power</t>
  </si>
  <si>
    <t>Backup Primitive Drive</t>
  </si>
  <si>
    <t>Backup HEPlaR Drive</t>
  </si>
  <si>
    <t>Backup Thruster Drive</t>
  </si>
  <si>
    <t>Backup CG</t>
  </si>
  <si>
    <t>Backup Jump</t>
  </si>
  <si>
    <t>Backup Meson Screen</t>
  </si>
  <si>
    <t>Backup Damper Screen</t>
  </si>
  <si>
    <t>Active Area Jammer</t>
  </si>
  <si>
    <t>Backup Area Active Jam.</t>
  </si>
  <si>
    <t>Active Decp. Jammer</t>
  </si>
  <si>
    <t>Backup Decp. Active Jam.</t>
  </si>
  <si>
    <t>Pas. Decoy Launcher</t>
  </si>
  <si>
    <t>Act. Decoy Launcher</t>
  </si>
  <si>
    <t>LIDAR Decoy Launcher</t>
  </si>
  <si>
    <t>Fusion + Plant</t>
  </si>
  <si>
    <t>Combat USP</t>
  </si>
  <si>
    <t>Ship Mass</t>
  </si>
  <si>
    <t>Ship Armor</t>
  </si>
  <si>
    <t>Primitive 1G Power</t>
  </si>
  <si>
    <t>Heplar 1G Power</t>
  </si>
  <si>
    <t>Thruster 1G Power</t>
  </si>
  <si>
    <t>Maximum 1G Power (min 1)</t>
  </si>
  <si>
    <t xml:space="preserve">Power Rating </t>
  </si>
  <si>
    <t>Backup Power Rating</t>
  </si>
  <si>
    <t>Primitive G-Turns</t>
  </si>
  <si>
    <t>Heplar G-Turns</t>
  </si>
  <si>
    <t>Maximum Acceleration</t>
  </si>
  <si>
    <t>Number of bridges</t>
  </si>
  <si>
    <t>Passive Rating</t>
  </si>
  <si>
    <t>Backup Passive Rating</t>
  </si>
  <si>
    <t>Active Rating</t>
  </si>
  <si>
    <t>Backup Active Rating</t>
  </si>
  <si>
    <t>LIDAR Rating</t>
  </si>
  <si>
    <t>Backup LIDAR Rating</t>
  </si>
  <si>
    <t>Passive ECM</t>
  </si>
  <si>
    <t>Active ECM</t>
  </si>
  <si>
    <t>Area ECM</t>
  </si>
  <si>
    <t>Sand Weapons/Battery</t>
  </si>
  <si>
    <t>Sand Screen</t>
  </si>
  <si>
    <t>Sand Rating</t>
  </si>
  <si>
    <t>Damper Weapons/Battery</t>
  </si>
  <si>
    <t>Damper Rating</t>
  </si>
  <si>
    <t>Meson Screen Rating</t>
  </si>
  <si>
    <t>Economic Data</t>
  </si>
  <si>
    <t>Full Load Personnel</t>
  </si>
  <si>
    <t>80% Load Personnel</t>
  </si>
  <si>
    <t>50% Load Personnel</t>
  </si>
  <si>
    <t>Full Load Available Cargo</t>
  </si>
  <si>
    <t>80% Load Available Cargo</t>
  </si>
  <si>
    <t>50% Load Available Cargo</t>
  </si>
  <si>
    <t xml:space="preserve">Full Load Speculative Cargo </t>
  </si>
  <si>
    <t xml:space="preserve">80% Load Speculative Cargo </t>
  </si>
  <si>
    <t xml:space="preserve">50% Load Speculative Cargo </t>
  </si>
  <si>
    <t>Deckplan Data</t>
  </si>
  <si>
    <t>Square Area</t>
  </si>
  <si>
    <t>Square Volume</t>
  </si>
  <si>
    <t>Changed some formating on the USP page.</t>
  </si>
  <si>
    <t>Fire, Fusion &amp; Steel 2 Design Worksheet</t>
  </si>
  <si>
    <t>Designed by Andrew Akins</t>
  </si>
  <si>
    <t>Using rules from Fire, Fusion, &amp; Steel (v2) written by David Golden and Guy Garnett</t>
  </si>
  <si>
    <t>Sensor data taken from the Definitive Sensor Rules written by Bruce Alan Macintosh</t>
  </si>
  <si>
    <t>Combat Universal Ship Profile taken from the Starship Combat Rules by Bruce Alan Macintosh</t>
  </si>
  <si>
    <t>Power page conceived by Phil Kitching</t>
  </si>
  <si>
    <t>Deckplans page conceived by Michael D. Peters</t>
  </si>
  <si>
    <t>Excel macro code by Simon Early</t>
  </si>
  <si>
    <t>Traveller is a registered trademark of Far Future Enterprises. Portions of this material</t>
  </si>
  <si>
    <t>are copyright 1977-1998 by Far Future Enterprises. Other material copyright 1997-1998</t>
  </si>
  <si>
    <t>Andrew R. Akins</t>
  </si>
  <si>
    <t>Version History</t>
  </si>
  <si>
    <t>Version 3.0 - last updated August 19, 1998</t>
  </si>
  <si>
    <t>Fixed/Changed Missile HEPlaR drive. Now, lower tech drives are also available. At TL 8,Experimental</t>
  </si>
  <si>
    <t>Fusion is used. At TL 9 Fusion is used. And at TL 10+, HEPlaR is used.</t>
  </si>
  <si>
    <t>Fixed Labs/Workshops power and cost (they were reversed).</t>
  </si>
  <si>
    <t>Version 2.9 - last updated July 24, 1998</t>
  </si>
  <si>
    <t>Fixed a problem with ECM folding arrays.</t>
  </si>
  <si>
    <t>Version 2.8 - last updated July 22, 1998</t>
  </si>
  <si>
    <t>Fixed a serious problem with component armor.</t>
  </si>
  <si>
    <t>Version 2.7 - last updated July 17, 1998</t>
  </si>
  <si>
    <t>Fixed a problem with the combat USP and bridges.</t>
  </si>
  <si>
    <t>Fixed a problem with Weapon battery endurance…was using defences power, not weapons.</t>
  </si>
  <si>
    <t>Changed Internal Cargo Bays and Cargo Grapples to allow for cargo densities greater/less than 1. This can be used to</t>
  </si>
  <si>
    <t>simulate special cargo haulers (such as ore haulers, where their cargo is denser than normal).</t>
  </si>
  <si>
    <t>Internal Bay - the code column is the tons (14m3) of cargo that EACH bay can hold. The 01 column is for cargo</t>
  </si>
  <si>
    <t>density, it determines the nominal cargo mass. It defaults to 1, but can be changed to represent a special</t>
  </si>
  <si>
    <t>type of cargo that has a different density (such as metallic ores, or dense liquids).</t>
  </si>
  <si>
    <t>The O3 column represents cargo density, as explained in Internal Bays.</t>
  </si>
  <si>
    <t>Cramped Crewstation</t>
  </si>
  <si>
    <t>Open Crewstation</t>
  </si>
  <si>
    <t>Added crewstations for small craft.</t>
  </si>
  <si>
    <t>Version 2.6 - last updated July 14, 1998</t>
  </si>
  <si>
    <t>Fixed a problem with design totals, LS armor was not included.</t>
  </si>
  <si>
    <t>Added macros to save/load individual weapons in "lightweight" format. Macros do not have a hot key, but can be</t>
  </si>
  <si>
    <t>accessed from the macro menu item.</t>
  </si>
  <si>
    <t>Version 2.5 - last updated June 12, 1998</t>
  </si>
  <si>
    <t>Capped the PD laser ROF to 800, per Combat System Rules.</t>
  </si>
  <si>
    <t>Changed PD battery requirement to 5 minutes.</t>
  </si>
  <si>
    <t>Fixed/Changed Missile Nuclear drive. Now, lower tech drives are also available. At TL 7, NTR is used. At TL 8,</t>
  </si>
  <si>
    <t>Changed the density of Grav Compensators to 2t/m3.</t>
  </si>
  <si>
    <t>AdvNTR is used. At TL 9 GCNTR is used. And at TL 10+, AND is used.</t>
  </si>
  <si>
    <t>Version 2.4 - last updated May 29, 1998</t>
  </si>
  <si>
    <t>Fixed Missile Thrusters.</t>
  </si>
  <si>
    <t>Fixed HEPlaR fuel consumption for missile drives.</t>
  </si>
  <si>
    <t>Fixed IR signature for low-power scenarios.</t>
  </si>
  <si>
    <t>Fixed the beam pointer on Laser 1.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</si>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</sst>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\ ;\(&quot;$&quot;#,##0.000\)"/>
    <numFmt numFmtId="166" formatCode="0.0%"/>
    <numFmt numFmtId="167" formatCode="0.0"/>
    <numFmt numFmtId="168" formatCode="#,##0.0"/>
    <numFmt numFmtId="169" formatCode="#,##0.00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i/>
      <sz val="16"/>
      <name val="Arial"/>
      <family val="0"/>
    </font>
    <font>
      <b/>
      <sz val="14"/>
      <name val="Arial"/>
      <family val="0"/>
    </font>
    <font>
      <b/>
      <i/>
      <sz val="8"/>
      <name val="Arial"/>
      <family val="0"/>
    </font>
    <font>
      <i/>
      <sz val="10"/>
      <color indexed="9"/>
      <name val="Arial"/>
      <family val="0"/>
    </font>
    <font>
      <b/>
      <i/>
      <sz val="16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9"/>
      </right>
      <top>
        <color indexed="9"/>
      </top>
      <bottom style="thin">
        <color indexed="63"/>
      </bottom>
    </border>
    <border>
      <left>
        <color indexed="9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9"/>
      </right>
      <top>
        <color indexed="9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9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563">
    <xf numFmtId="0" fontId="0" fillId="0" borderId="0" xfId="0" applyAlignment="1">
      <alignment/>
    </xf>
    <xf numFmtId="0" fontId="6" fillId="2" borderId="2" xfId="0" applyFont="1" applyFill="1" applyBorder="1" applyAlignment="1">
      <alignment horizontal="left"/>
    </xf>
    <xf numFmtId="164" fontId="6" fillId="0" borderId="0" xfId="0" applyNumberFormat="1" applyFill="1" applyAlignment="1">
      <alignment/>
    </xf>
    <xf numFmtId="0" fontId="11" fillId="3" borderId="0" xfId="0" applyFont="1" applyFill="1" applyAlignment="1">
      <alignment/>
    </xf>
    <xf numFmtId="0" fontId="6" fillId="0" borderId="0" xfId="0" applyFill="1" applyBorder="1" applyAlignment="1">
      <alignment horizontal="right"/>
    </xf>
    <xf numFmtId="0" fontId="6" fillId="4" borderId="3" xfId="0" applyFont="1" applyFill="1" applyAlignment="1" applyProtection="1">
      <alignment/>
      <protection locked="0"/>
    </xf>
    <xf numFmtId="0" fontId="6" fillId="0" borderId="0" xfId="0" applyFill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0" xfId="0" applyFill="1" applyBorder="1" applyAlignment="1">
      <alignment horizontal="right"/>
    </xf>
    <xf numFmtId="0" fontId="4" fillId="0" borderId="6" xfId="0" applyFill="1" applyAlignment="1">
      <alignment vertical="center"/>
    </xf>
    <xf numFmtId="0" fontId="5" fillId="5" borderId="7" xfId="0" applyFont="1" applyFill="1" applyAlignment="1">
      <alignment/>
    </xf>
    <xf numFmtId="0" fontId="6" fillId="5" borderId="8" xfId="0" applyFont="1" applyFill="1" applyBorder="1" applyAlignment="1">
      <alignment horizontal="right"/>
    </xf>
    <xf numFmtId="0" fontId="4" fillId="0" borderId="0" xfId="0" applyFill="1" applyAlignment="1">
      <alignment/>
    </xf>
    <xf numFmtId="2" fontId="5" fillId="6" borderId="9" xfId="0" applyNumberFormat="1" applyFont="1" applyFill="1" applyBorder="1" applyAlignment="1">
      <alignment horizontal="center"/>
    </xf>
    <xf numFmtId="0" fontId="6" fillId="4" borderId="10" xfId="0" applyFont="1" applyFill="1" applyAlignment="1" applyProtection="1">
      <alignment/>
      <protection locked="0"/>
    </xf>
    <xf numFmtId="164" fontId="5" fillId="6" borderId="11" xfId="0" applyNumberFormat="1" applyFont="1" applyFill="1" applyBorder="1" applyAlignment="1">
      <alignment horizontal="centerContinuous"/>
    </xf>
    <xf numFmtId="164" fontId="6" fillId="2" borderId="12" xfId="0" applyNumberFormat="1" applyFont="1" applyFill="1" applyAlignment="1">
      <alignment/>
    </xf>
    <xf numFmtId="164" fontId="6" fillId="2" borderId="12" xfId="0" applyNumberFormat="1" applyFont="1" applyFill="1" applyBorder="1" applyAlignment="1">
      <alignment horizontal="right"/>
    </xf>
    <xf numFmtId="0" fontId="6" fillId="7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6" fillId="4" borderId="12" xfId="0" applyFont="1" applyFill="1" applyAlignment="1" applyProtection="1">
      <alignment/>
      <protection locked="0"/>
    </xf>
    <xf numFmtId="0" fontId="12" fillId="3" borderId="0" xfId="0" applyFont="1" applyFill="1" applyAlignment="1">
      <alignment/>
    </xf>
    <xf numFmtId="2" fontId="6" fillId="2" borderId="16" xfId="0" applyNumberFormat="1" applyFont="1" applyFill="1" applyAlignment="1">
      <alignment/>
    </xf>
    <xf numFmtId="0" fontId="6" fillId="7" borderId="17" xfId="0" applyFont="1" applyFill="1" applyBorder="1" applyAlignment="1">
      <alignment horizontal="right"/>
    </xf>
    <xf numFmtId="0" fontId="5" fillId="6" borderId="18" xfId="0" applyFont="1" applyFill="1" applyBorder="1" applyAlignment="1">
      <alignment horizontal="left"/>
    </xf>
    <xf numFmtId="0" fontId="6" fillId="2" borderId="12" xfId="0" applyFont="1" applyFill="1" applyAlignment="1">
      <alignment/>
    </xf>
    <xf numFmtId="0" fontId="6" fillId="4" borderId="19" xfId="0" applyFont="1" applyFill="1" applyAlignment="1" applyProtection="1">
      <alignment/>
      <protection locked="0"/>
    </xf>
    <xf numFmtId="7" fontId="6" fillId="0" borderId="0" xfId="0" applyNumberFormat="1" applyFill="1" applyBorder="1" applyAlignment="1">
      <alignment horizontal="right"/>
    </xf>
    <xf numFmtId="7" fontId="6" fillId="3" borderId="0" xfId="0" applyNumberFormat="1" applyFont="1" applyFill="1" applyBorder="1" applyAlignment="1">
      <alignment horizontal="right"/>
    </xf>
    <xf numFmtId="0" fontId="6" fillId="7" borderId="2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7" fontId="6" fillId="6" borderId="21" xfId="0" applyNumberFormat="1" applyFont="1" applyFill="1" applyBorder="1" applyAlignment="1">
      <alignment horizontal="right"/>
    </xf>
    <xf numFmtId="0" fontId="6" fillId="4" borderId="22" xfId="0" applyFont="1" applyFill="1" applyAlignment="1" applyProtection="1">
      <alignment/>
      <protection locked="0"/>
    </xf>
    <xf numFmtId="0" fontId="6" fillId="2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5" fillId="6" borderId="18" xfId="0" applyFont="1" applyFill="1" applyAlignment="1">
      <alignment/>
    </xf>
    <xf numFmtId="2" fontId="6" fillId="0" borderId="0" xfId="0" applyNumberForma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0" fontId="6" fillId="6" borderId="21" xfId="0" applyFont="1" applyFill="1" applyAlignment="1">
      <alignment/>
    </xf>
    <xf numFmtId="0" fontId="6" fillId="6" borderId="21" xfId="0" applyFont="1" applyFill="1" applyBorder="1" applyAlignment="1">
      <alignment horizontal="center"/>
    </xf>
    <xf numFmtId="7" fontId="6" fillId="5" borderId="0" xfId="0" applyNumberFormat="1" applyFont="1" applyFill="1" applyBorder="1" applyAlignment="1">
      <alignment horizontal="right"/>
    </xf>
    <xf numFmtId="2" fontId="6" fillId="6" borderId="21" xfId="0" applyNumberFormat="1" applyFont="1" applyFill="1" applyBorder="1" applyAlignment="1">
      <alignment horizontal="right"/>
    </xf>
    <xf numFmtId="0" fontId="6" fillId="5" borderId="25" xfId="0" applyFont="1" applyFill="1" applyAlignment="1">
      <alignment/>
    </xf>
    <xf numFmtId="7" fontId="6" fillId="4" borderId="26" xfId="0" applyNumberFormat="1" applyFont="1" applyFill="1" applyBorder="1" applyAlignment="1">
      <alignment horizontal="right"/>
    </xf>
    <xf numFmtId="0" fontId="0" fillId="5" borderId="25" xfId="0" applyFont="1" applyAlignment="1">
      <alignment/>
    </xf>
    <xf numFmtId="0" fontId="6" fillId="6" borderId="27" xfId="0" applyFont="1" applyFill="1" applyAlignment="1">
      <alignment/>
    </xf>
    <xf numFmtId="2" fontId="6" fillId="5" borderId="0" xfId="0" applyNumberFormat="1" applyFont="1" applyFill="1" applyBorder="1" applyAlignment="1">
      <alignment horizontal="right"/>
    </xf>
    <xf numFmtId="0" fontId="6" fillId="5" borderId="0" xfId="0" applyFont="1" applyFill="1" applyAlignment="1">
      <alignment/>
    </xf>
    <xf numFmtId="2" fontId="6" fillId="4" borderId="4" xfId="0" applyNumberFormat="1" applyFont="1" applyFill="1" applyBorder="1" applyAlignment="1">
      <alignment horizontal="right"/>
    </xf>
    <xf numFmtId="0" fontId="0" fillId="3" borderId="0" xfId="0" applyFont="1" applyAlignment="1">
      <alignment/>
    </xf>
    <xf numFmtId="0" fontId="8" fillId="6" borderId="28" xfId="0" applyFont="1" applyFill="1" applyAlignment="1">
      <alignment vertical="center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7" fontId="6" fillId="4" borderId="29" xfId="0" applyNumberFormat="1" applyFont="1" applyFill="1" applyBorder="1" applyAlignment="1">
      <alignment horizontal="right"/>
    </xf>
    <xf numFmtId="0" fontId="6" fillId="2" borderId="30" xfId="0" applyFont="1" applyFill="1" applyAlignment="1">
      <alignment/>
    </xf>
    <xf numFmtId="2" fontId="6" fillId="4" borderId="2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2" fontId="6" fillId="7" borderId="2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4" borderId="12" xfId="0" applyFont="1" applyFill="1" applyBorder="1" applyAlignment="1" applyProtection="1">
      <alignment horizontal="center"/>
      <protection locked="0"/>
    </xf>
    <xf numFmtId="2" fontId="6" fillId="5" borderId="0" xfId="0" applyNumberFormat="1" applyFont="1" applyFill="1" applyBorder="1" applyAlignment="1">
      <alignment horizontal="right"/>
    </xf>
    <xf numFmtId="0" fontId="6" fillId="0" borderId="0" xfId="0" applyNumberFormat="1" applyFill="1" applyBorder="1" applyAlignment="1">
      <alignment horizontal="left"/>
    </xf>
    <xf numFmtId="2" fontId="6" fillId="2" borderId="15" xfId="0" applyNumberFormat="1" applyFont="1" applyFill="1" applyBorder="1" applyAlignment="1">
      <alignment horizontal="right"/>
    </xf>
    <xf numFmtId="165" fontId="6" fillId="2" borderId="31" xfId="0" applyNumberFormat="1" applyFont="1" applyFill="1" applyBorder="1" applyAlignment="1">
      <alignment horizontal="right"/>
    </xf>
    <xf numFmtId="2" fontId="6" fillId="7" borderId="15" xfId="0" applyNumberFormat="1" applyFont="1" applyFill="1" applyBorder="1" applyAlignment="1">
      <alignment horizontal="right"/>
    </xf>
    <xf numFmtId="0" fontId="6" fillId="4" borderId="15" xfId="0" applyFont="1" applyFill="1" applyBorder="1" applyAlignment="1" applyProtection="1">
      <alignment horizontal="center"/>
      <protection locked="0"/>
    </xf>
    <xf numFmtId="7" fontId="6" fillId="5" borderId="0" xfId="0" applyNumberFormat="1" applyFont="1" applyFill="1" applyBorder="1" applyAlignment="1">
      <alignment horizontal="right"/>
    </xf>
    <xf numFmtId="7" fontId="5" fillId="6" borderId="27" xfId="0" applyNumberFormat="1" applyFont="1" applyFill="1" applyBorder="1" applyAlignment="1">
      <alignment horizontal="center"/>
    </xf>
    <xf numFmtId="2" fontId="6" fillId="2" borderId="32" xfId="0" applyNumberFormat="1" applyFont="1" applyFill="1" applyBorder="1" applyAlignment="1">
      <alignment horizontal="right"/>
    </xf>
    <xf numFmtId="165" fontId="6" fillId="7" borderId="33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right"/>
    </xf>
    <xf numFmtId="2" fontId="6" fillId="2" borderId="23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 horizontal="right"/>
    </xf>
    <xf numFmtId="7" fontId="6" fillId="7" borderId="24" xfId="0" applyNumberFormat="1" applyFont="1" applyFill="1" applyBorder="1" applyAlignment="1">
      <alignment horizontal="right"/>
    </xf>
    <xf numFmtId="0" fontId="6" fillId="5" borderId="34" xfId="0" applyFont="1" applyFill="1" applyBorder="1" applyAlignment="1">
      <alignment horizontal="left"/>
    </xf>
    <xf numFmtId="7" fontId="6" fillId="2" borderId="24" xfId="0" applyNumberFormat="1" applyFont="1" applyFill="1" applyBorder="1" applyAlignment="1">
      <alignment horizontal="right"/>
    </xf>
    <xf numFmtId="2" fontId="6" fillId="7" borderId="32" xfId="0" applyNumberFormat="1" applyFont="1" applyFill="1" applyBorder="1" applyAlignment="1">
      <alignment horizontal="right"/>
    </xf>
    <xf numFmtId="0" fontId="6" fillId="5" borderId="35" xfId="0" applyFont="1" applyFill="1" applyAlignment="1">
      <alignment/>
    </xf>
    <xf numFmtId="2" fontId="6" fillId="7" borderId="12" xfId="0" applyNumberFormat="1" applyFont="1" applyFill="1" applyBorder="1" applyAlignment="1">
      <alignment horizontal="right"/>
    </xf>
    <xf numFmtId="0" fontId="6" fillId="5" borderId="35" xfId="0" applyFont="1" applyFill="1" applyBorder="1" applyAlignment="1">
      <alignment horizontal="right"/>
    </xf>
    <xf numFmtId="2" fontId="6" fillId="7" borderId="23" xfId="0" applyNumberFormat="1" applyFont="1" applyFill="1" applyBorder="1" applyAlignment="1">
      <alignment horizontal="right"/>
    </xf>
    <xf numFmtId="2" fontId="6" fillId="7" borderId="13" xfId="0" applyNumberFormat="1" applyFont="1" applyFill="1" applyBorder="1" applyAlignment="1">
      <alignment horizontal="right"/>
    </xf>
    <xf numFmtId="0" fontId="13" fillId="3" borderId="0" xfId="0" applyFont="1" applyAlignment="1">
      <alignment/>
    </xf>
    <xf numFmtId="0" fontId="6" fillId="4" borderId="32" xfId="0" applyFont="1" applyFill="1" applyAlignment="1" applyProtection="1">
      <alignment/>
      <protection locked="0"/>
    </xf>
    <xf numFmtId="7" fontId="6" fillId="2" borderId="36" xfId="0" applyNumberFormat="1" applyFont="1" applyFill="1" applyBorder="1" applyAlignment="1">
      <alignment horizontal="right"/>
    </xf>
    <xf numFmtId="2" fontId="6" fillId="2" borderId="19" xfId="0" applyNumberFormat="1" applyFont="1" applyFill="1" applyBorder="1" applyAlignment="1">
      <alignment horizontal="right"/>
    </xf>
    <xf numFmtId="2" fontId="6" fillId="5" borderId="30" xfId="0" applyNumberFormat="1" applyFont="1" applyFill="1" applyBorder="1" applyAlignment="1">
      <alignment horizontal="right"/>
    </xf>
    <xf numFmtId="2" fontId="6" fillId="7" borderId="19" xfId="0" applyNumberFormat="1" applyFont="1" applyFill="1" applyBorder="1" applyAlignment="1">
      <alignment horizontal="right"/>
    </xf>
    <xf numFmtId="7" fontId="6" fillId="2" borderId="33" xfId="0" applyNumberFormat="1" applyFont="1" applyFill="1" applyBorder="1" applyAlignment="1">
      <alignment horizontal="right"/>
    </xf>
    <xf numFmtId="7" fontId="6" fillId="2" borderId="37" xfId="0" applyNumberFormat="1" applyFont="1" applyFill="1" applyBorder="1" applyAlignment="1">
      <alignment horizontal="right"/>
    </xf>
    <xf numFmtId="7" fontId="6" fillId="7" borderId="33" xfId="0" applyNumberFormat="1" applyFont="1" applyFill="1" applyBorder="1" applyAlignment="1">
      <alignment horizontal="right"/>
    </xf>
    <xf numFmtId="2" fontId="6" fillId="6" borderId="38" xfId="0" applyNumberFormat="1" applyFont="1" applyFill="1" applyAlignment="1">
      <alignment/>
    </xf>
    <xf numFmtId="165" fontId="6" fillId="5" borderId="0" xfId="0" applyNumberFormat="1" applyFont="1" applyFill="1" applyAlignment="1">
      <alignment/>
    </xf>
    <xf numFmtId="164" fontId="6" fillId="2" borderId="15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7" fontId="6" fillId="2" borderId="31" xfId="0" applyNumberFormat="1" applyFont="1" applyFill="1" applyBorder="1" applyAlignment="1">
      <alignment horizontal="right"/>
    </xf>
    <xf numFmtId="0" fontId="6" fillId="6" borderId="4" xfId="0" applyFont="1" applyFill="1" applyAlignment="1">
      <alignment/>
    </xf>
    <xf numFmtId="0" fontId="6" fillId="6" borderId="26" xfId="0" applyFont="1" applyFill="1" applyAlignment="1">
      <alignment/>
    </xf>
    <xf numFmtId="164" fontId="6" fillId="2" borderId="11" xfId="0" applyNumberFormat="1" applyFont="1" applyFill="1" applyAlignment="1">
      <alignment/>
    </xf>
    <xf numFmtId="164" fontId="6" fillId="2" borderId="19" xfId="0" applyNumberFormat="1" applyFont="1" applyFill="1" applyAlignment="1">
      <alignment/>
    </xf>
    <xf numFmtId="164" fontId="6" fillId="7" borderId="12" xfId="0" applyNumberFormat="1" applyFont="1" applyFill="1" applyBorder="1" applyAlignment="1">
      <alignment horizontal="right"/>
    </xf>
    <xf numFmtId="7" fontId="6" fillId="7" borderId="36" xfId="0" applyNumberFormat="1" applyFont="1" applyFill="1" applyBorder="1" applyAlignment="1">
      <alignment horizontal="right"/>
    </xf>
    <xf numFmtId="7" fontId="6" fillId="7" borderId="37" xfId="0" applyNumberFormat="1" applyFont="1" applyFill="1" applyBorder="1" applyAlignment="1">
      <alignment horizontal="right"/>
    </xf>
    <xf numFmtId="164" fontId="6" fillId="7" borderId="15" xfId="0" applyNumberFormat="1" applyFont="1" applyFill="1" applyBorder="1" applyAlignment="1">
      <alignment horizontal="right"/>
    </xf>
    <xf numFmtId="0" fontId="6" fillId="2" borderId="2" xfId="0" applyFont="1" applyFill="1" applyAlignment="1">
      <alignment/>
    </xf>
    <xf numFmtId="7" fontId="6" fillId="2" borderId="12" xfId="0" applyNumberFormat="1" applyFont="1" applyFill="1" applyBorder="1" applyAlignment="1">
      <alignment horizontal="right"/>
    </xf>
    <xf numFmtId="164" fontId="6" fillId="2" borderId="39" xfId="0" applyNumberFormat="1" applyFont="1" applyFill="1" applyAlignment="1">
      <alignment/>
    </xf>
    <xf numFmtId="165" fontId="6" fillId="0" borderId="0" xfId="0" applyNumberFormat="1" applyFill="1" applyAlignment="1">
      <alignment/>
    </xf>
    <xf numFmtId="165" fontId="5" fillId="6" borderId="40" xfId="0" applyNumberFormat="1" applyFont="1" applyFill="1" applyBorder="1" applyAlignment="1">
      <alignment horizontal="centerContinuous"/>
    </xf>
    <xf numFmtId="7" fontId="6" fillId="7" borderId="31" xfId="0" applyNumberFormat="1" applyFont="1" applyFill="1" applyBorder="1" applyAlignment="1">
      <alignment horizontal="right"/>
    </xf>
    <xf numFmtId="165" fontId="6" fillId="2" borderId="33" xfId="0" applyNumberFormat="1" applyFont="1" applyFill="1" applyAlignment="1">
      <alignment/>
    </xf>
    <xf numFmtId="7" fontId="6" fillId="2" borderId="10" xfId="0" applyNumberFormat="1" applyFont="1" applyFill="1" applyBorder="1" applyAlignment="1">
      <alignment horizontal="right"/>
    </xf>
    <xf numFmtId="7" fontId="6" fillId="5" borderId="30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165" fontId="6" fillId="2" borderId="33" xfId="0" applyNumberFormat="1" applyFont="1" applyFill="1" applyBorder="1" applyAlignment="1">
      <alignment horizontal="right"/>
    </xf>
    <xf numFmtId="165" fontId="6" fillId="2" borderId="24" xfId="0" applyNumberFormat="1" applyFont="1" applyFill="1" applyBorder="1" applyAlignment="1">
      <alignment horizontal="right"/>
    </xf>
    <xf numFmtId="165" fontId="6" fillId="7" borderId="33" xfId="0" applyNumberFormat="1" applyFont="1" applyFill="1" applyBorder="1" applyAlignment="1">
      <alignment horizontal="right"/>
    </xf>
    <xf numFmtId="0" fontId="5" fillId="0" borderId="0" xfId="0" applyFill="1" applyAlignment="1">
      <alignment/>
    </xf>
    <xf numFmtId="0" fontId="7" fillId="5" borderId="34" xfId="0" applyFont="1" applyFill="1" applyAlignment="1">
      <alignment/>
    </xf>
    <xf numFmtId="0" fontId="6" fillId="7" borderId="2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14" fontId="6" fillId="3" borderId="0" xfId="0" applyFont="1" applyFill="1" applyAlignment="1">
      <alignment/>
    </xf>
    <xf numFmtId="0" fontId="6" fillId="7" borderId="42" xfId="0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right"/>
    </xf>
    <xf numFmtId="0" fontId="6" fillId="5" borderId="43" xfId="0" applyFont="1" applyFill="1" applyAlignment="1">
      <alignment/>
    </xf>
    <xf numFmtId="0" fontId="6" fillId="5" borderId="44" xfId="0" applyFont="1" applyFill="1" applyAlignment="1">
      <alignment/>
    </xf>
    <xf numFmtId="0" fontId="6" fillId="5" borderId="30" xfId="0" applyFont="1" applyFill="1" applyAlignment="1">
      <alignment/>
    </xf>
    <xf numFmtId="0" fontId="6" fillId="5" borderId="30" xfId="0" applyFont="1" applyFill="1" applyBorder="1" applyAlignment="1">
      <alignment horizontal="center"/>
    </xf>
    <xf numFmtId="7" fontId="6" fillId="7" borderId="45" xfId="0" applyNumberFormat="1" applyFont="1" applyFill="1" applyBorder="1" applyAlignment="1">
      <alignment horizontal="right"/>
    </xf>
    <xf numFmtId="0" fontId="6" fillId="5" borderId="46" xfId="0" applyFont="1" applyFill="1" applyAlignment="1">
      <alignment/>
    </xf>
    <xf numFmtId="0" fontId="6" fillId="5" borderId="42" xfId="0" applyFont="1" applyFill="1" applyAlignment="1">
      <alignment/>
    </xf>
    <xf numFmtId="165" fontId="6" fillId="2" borderId="40" xfId="0" applyNumberFormat="1" applyFont="1" applyFill="1" applyAlignment="1">
      <alignment/>
    </xf>
    <xf numFmtId="165" fontId="6" fillId="2" borderId="10" xfId="0" applyNumberFormat="1" applyFont="1" applyFill="1" applyAlignment="1">
      <alignment/>
    </xf>
    <xf numFmtId="165" fontId="6" fillId="5" borderId="47" xfId="0" applyNumberFormat="1" applyFont="1" applyFill="1" applyAlignment="1">
      <alignment/>
    </xf>
    <xf numFmtId="165" fontId="5" fillId="5" borderId="0" xfId="0" applyNumberFormat="1" applyFont="1" applyFill="1" applyAlignment="1">
      <alignment/>
    </xf>
    <xf numFmtId="165" fontId="5" fillId="6" borderId="38" xfId="0" applyNumberFormat="1" applyFont="1" applyFill="1" applyAlignment="1">
      <alignment/>
    </xf>
    <xf numFmtId="165" fontId="6" fillId="5" borderId="48" xfId="0" applyNumberFormat="1" applyFont="1" applyFill="1" applyAlignment="1">
      <alignment/>
    </xf>
    <xf numFmtId="164" fontId="6" fillId="2" borderId="33" xfId="0" applyNumberFormat="1" applyFont="1" applyFill="1" applyAlignment="1">
      <alignment/>
    </xf>
    <xf numFmtId="164" fontId="6" fillId="7" borderId="19" xfId="0" applyNumberFormat="1" applyFont="1" applyFill="1" applyBorder="1" applyAlignment="1">
      <alignment horizontal="right"/>
    </xf>
    <xf numFmtId="0" fontId="6" fillId="2" borderId="10" xfId="0" applyFont="1" applyFill="1" applyAlignment="1">
      <alignment/>
    </xf>
    <xf numFmtId="0" fontId="6" fillId="2" borderId="19" xfId="0" applyFont="1" applyFill="1" applyAlignment="1">
      <alignment/>
    </xf>
    <xf numFmtId="164" fontId="6" fillId="7" borderId="12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6" fillId="2" borderId="33" xfId="0" applyFont="1" applyFill="1" applyAlignment="1">
      <alignment/>
    </xf>
    <xf numFmtId="7" fontId="6" fillId="4" borderId="49" xfId="0" applyNumberFormat="1" applyFont="1" applyFill="1" applyAlignment="1" applyProtection="1">
      <alignment/>
      <protection locked="0"/>
    </xf>
    <xf numFmtId="0" fontId="6" fillId="5" borderId="0" xfId="0" applyFont="1" applyFill="1" applyAlignment="1">
      <alignment/>
    </xf>
    <xf numFmtId="164" fontId="6" fillId="5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0" fontId="6" fillId="4" borderId="50" xfId="0" applyFont="1" applyFill="1" applyBorder="1" applyAlignment="1" applyProtection="1">
      <alignment horizontal="center"/>
      <protection locked="0"/>
    </xf>
    <xf numFmtId="0" fontId="0" fillId="5" borderId="35" xfId="0" applyFont="1" applyAlignment="1">
      <alignment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2" fontId="6" fillId="4" borderId="13" xfId="0" applyNumberFormat="1" applyFont="1" applyFill="1" applyBorder="1" applyAlignment="1" applyProtection="1">
      <alignment horizontal="right"/>
      <protection locked="0"/>
    </xf>
    <xf numFmtId="0" fontId="6" fillId="5" borderId="51" xfId="0" applyFont="1" applyFill="1" applyAlignment="1">
      <alignment/>
    </xf>
    <xf numFmtId="7" fontId="6" fillId="4" borderId="36" xfId="0" applyNumberFormat="1" applyFont="1" applyFill="1" applyBorder="1" applyAlignment="1" applyProtection="1">
      <alignment horizontal="right"/>
      <protection locked="0"/>
    </xf>
    <xf numFmtId="0" fontId="6" fillId="2" borderId="52" xfId="0" applyFont="1" applyFill="1" applyAlignment="1">
      <alignment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0" fontId="6" fillId="7" borderId="19" xfId="0" applyFont="1" applyFill="1" applyAlignment="1">
      <alignment/>
    </xf>
    <xf numFmtId="0" fontId="6" fillId="7" borderId="11" xfId="0" applyFont="1" applyFill="1" applyAlignment="1">
      <alignment/>
    </xf>
    <xf numFmtId="0" fontId="6" fillId="7" borderId="52" xfId="0" applyFont="1" applyFill="1" applyAlignment="1">
      <alignment/>
    </xf>
    <xf numFmtId="0" fontId="6" fillId="7" borderId="33" xfId="0" applyFont="1" applyFill="1" applyAlignment="1">
      <alignment/>
    </xf>
    <xf numFmtId="0" fontId="0" fillId="7" borderId="33" xfId="0" applyFont="1" applyAlignment="1">
      <alignment/>
    </xf>
    <xf numFmtId="0" fontId="6" fillId="7" borderId="10" xfId="0" applyFont="1" applyFill="1" applyAlignment="1">
      <alignment/>
    </xf>
    <xf numFmtId="0" fontId="6" fillId="7" borderId="24" xfId="0" applyFont="1" applyFill="1" applyAlignment="1">
      <alignment/>
    </xf>
    <xf numFmtId="165" fontId="6" fillId="2" borderId="53" xfId="0" applyNumberFormat="1" applyFont="1" applyFill="1" applyAlignment="1">
      <alignment/>
    </xf>
    <xf numFmtId="165" fontId="6" fillId="5" borderId="0" xfId="0" applyNumberFormat="1" applyFont="1" applyFill="1" applyAlignment="1">
      <alignment/>
    </xf>
    <xf numFmtId="0" fontId="5" fillId="6" borderId="7" xfId="0" applyFont="1" applyFill="1" applyAlignment="1">
      <alignment/>
    </xf>
    <xf numFmtId="165" fontId="5" fillId="6" borderId="40" xfId="0" applyNumberFormat="1" applyFont="1" applyFill="1" applyAlignment="1">
      <alignment/>
    </xf>
    <xf numFmtId="0" fontId="6" fillId="5" borderId="54" xfId="0" applyFont="1" applyFill="1" applyAlignment="1">
      <alignment/>
    </xf>
    <xf numFmtId="0" fontId="5" fillId="6" borderId="11" xfId="0" applyFont="1" applyFill="1" applyBorder="1" applyAlignment="1">
      <alignment horizontal="centerContinuous"/>
    </xf>
    <xf numFmtId="0" fontId="6" fillId="5" borderId="8" xfId="0" applyFont="1" applyFill="1" applyAlignment="1">
      <alignment/>
    </xf>
    <xf numFmtId="0" fontId="6" fillId="5" borderId="55" xfId="0" applyFont="1" applyFill="1" applyAlignment="1">
      <alignment/>
    </xf>
    <xf numFmtId="164" fontId="6" fillId="5" borderId="48" xfId="0" applyNumberFormat="1" applyFont="1" applyFill="1" applyAlignment="1">
      <alignment/>
    </xf>
    <xf numFmtId="0" fontId="6" fillId="5" borderId="56" xfId="0" applyFont="1" applyFill="1" applyAlignment="1">
      <alignment/>
    </xf>
    <xf numFmtId="0" fontId="5" fillId="6" borderId="57" xfId="0" applyFont="1" applyFill="1" applyAlignment="1">
      <alignment/>
    </xf>
    <xf numFmtId="0" fontId="5" fillId="6" borderId="4" xfId="0" applyFont="1" applyFill="1" applyBorder="1" applyAlignment="1">
      <alignment horizontal="centerContinuous"/>
    </xf>
    <xf numFmtId="164" fontId="5" fillId="6" borderId="4" xfId="0" applyNumberFormat="1" applyFont="1" applyFill="1" applyBorder="1" applyAlignment="1">
      <alignment horizontal="centerContinuous"/>
    </xf>
    <xf numFmtId="165" fontId="5" fillId="6" borderId="26" xfId="0" applyNumberFormat="1" applyFont="1" applyFill="1" applyBorder="1" applyAlignment="1">
      <alignment horizontal="centerContinuous"/>
    </xf>
    <xf numFmtId="0" fontId="5" fillId="6" borderId="54" xfId="0" applyFont="1" applyFill="1" applyAlignment="1">
      <alignment/>
    </xf>
    <xf numFmtId="0" fontId="5" fillId="6" borderId="12" xfId="0" applyFont="1" applyFill="1" applyBorder="1" applyAlignment="1">
      <alignment horizontal="centerContinuous"/>
    </xf>
    <xf numFmtId="164" fontId="5" fillId="6" borderId="12" xfId="0" applyNumberFormat="1" applyFont="1" applyFill="1" applyBorder="1" applyAlignment="1">
      <alignment horizontal="centerContinuous"/>
    </xf>
    <xf numFmtId="165" fontId="5" fillId="6" borderId="33" xfId="0" applyNumberFormat="1" applyFont="1" applyFill="1" applyBorder="1" applyAlignment="1">
      <alignment horizontal="centerContinuous"/>
    </xf>
    <xf numFmtId="0" fontId="4" fillId="0" borderId="0" xfId="0" applyFill="1" applyAlignment="1">
      <alignment/>
    </xf>
    <xf numFmtId="2" fontId="6" fillId="4" borderId="32" xfId="0" applyNumberFormat="1" applyFont="1" applyFill="1" applyBorder="1" applyAlignment="1">
      <alignment horizontal="right"/>
    </xf>
    <xf numFmtId="2" fontId="6" fillId="4" borderId="15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/>
    </xf>
    <xf numFmtId="0" fontId="0" fillId="5" borderId="0" xfId="0" applyFont="1" applyAlignment="1">
      <alignment/>
    </xf>
    <xf numFmtId="0" fontId="6" fillId="0" borderId="0" xfId="0" applyFill="1" applyAlignment="1">
      <alignment/>
    </xf>
    <xf numFmtId="0" fontId="6" fillId="0" borderId="0" xfId="0" applyFill="1" applyBorder="1" applyAlignment="1">
      <alignment horizontal="center"/>
    </xf>
    <xf numFmtId="0" fontId="13" fillId="3" borderId="0" xfId="0" applyFont="1" applyAlignment="1">
      <alignment/>
    </xf>
    <xf numFmtId="0" fontId="6" fillId="5" borderId="58" xfId="0" applyFont="1" applyFill="1" applyBorder="1" applyAlignment="1">
      <alignment horizontal="right"/>
    </xf>
    <xf numFmtId="0" fontId="13" fillId="3" borderId="59" xfId="0" applyFont="1" applyAlignment="1">
      <alignment/>
    </xf>
    <xf numFmtId="0" fontId="6" fillId="0" borderId="60" xfId="0" applyFill="1" applyAlignment="1">
      <alignment/>
    </xf>
    <xf numFmtId="0" fontId="6" fillId="0" borderId="25" xfId="0" applyFill="1" applyAlignment="1">
      <alignment/>
    </xf>
    <xf numFmtId="0" fontId="6" fillId="0" borderId="55" xfId="0" applyFill="1" applyAlignment="1">
      <alignment/>
    </xf>
    <xf numFmtId="0" fontId="6" fillId="0" borderId="6" xfId="0" applyFill="1" applyAlignment="1">
      <alignment/>
    </xf>
    <xf numFmtId="0" fontId="5" fillId="6" borderId="61" xfId="0" applyFont="1" applyFill="1" applyAlignment="1">
      <alignment/>
    </xf>
    <xf numFmtId="0" fontId="11" fillId="3" borderId="0" xfId="0" applyFont="1" applyFill="1" applyAlignment="1">
      <alignment/>
    </xf>
    <xf numFmtId="0" fontId="5" fillId="6" borderId="62" xfId="0" applyFont="1" applyFill="1" applyAlignment="1">
      <alignment/>
    </xf>
    <xf numFmtId="0" fontId="5" fillId="6" borderId="38" xfId="0" applyFont="1" applyFill="1" applyAlignment="1">
      <alignment/>
    </xf>
    <xf numFmtId="0" fontId="6" fillId="0" borderId="30" xfId="0" applyFill="1" applyAlignment="1">
      <alignment/>
    </xf>
    <xf numFmtId="0" fontId="6" fillId="6" borderId="62" xfId="0" applyFont="1" applyFill="1" applyAlignment="1">
      <alignment/>
    </xf>
    <xf numFmtId="0" fontId="6" fillId="2" borderId="48" xfId="0" applyFont="1" applyFill="1" applyAlignment="1">
      <alignment/>
    </xf>
    <xf numFmtId="0" fontId="6" fillId="6" borderId="38" xfId="0" applyFont="1" applyFill="1" applyAlignment="1">
      <alignment/>
    </xf>
    <xf numFmtId="0" fontId="6" fillId="0" borderId="63" xfId="0" applyFill="1" applyAlignment="1">
      <alignment/>
    </xf>
    <xf numFmtId="0" fontId="6" fillId="2" borderId="3" xfId="0" applyFont="1" applyFill="1" applyAlignment="1">
      <alignment/>
    </xf>
    <xf numFmtId="0" fontId="6" fillId="0" borderId="46" xfId="0" applyFill="1" applyAlignment="1">
      <alignment/>
    </xf>
    <xf numFmtId="0" fontId="6" fillId="2" borderId="24" xfId="0" applyFont="1" applyFill="1" applyAlignment="1">
      <alignment/>
    </xf>
    <xf numFmtId="0" fontId="6" fillId="0" borderId="42" xfId="0" applyFill="1" applyAlignment="1">
      <alignment/>
    </xf>
    <xf numFmtId="0" fontId="13" fillId="3" borderId="64" xfId="0" applyFont="1" applyAlignment="1">
      <alignment/>
    </xf>
    <xf numFmtId="0" fontId="14" fillId="3" borderId="0" xfId="0" applyFont="1" applyFill="1" applyAlignment="1">
      <alignment/>
    </xf>
    <xf numFmtId="2" fontId="6" fillId="7" borderId="65" xfId="0" applyNumberFormat="1" applyFont="1" applyFill="1" applyBorder="1" applyAlignment="1">
      <alignment horizontal="center"/>
    </xf>
    <xf numFmtId="0" fontId="6" fillId="0" borderId="0" xfId="0" applyFill="1" applyBorder="1" applyAlignment="1">
      <alignment horizontal="right"/>
    </xf>
    <xf numFmtId="0" fontId="6" fillId="2" borderId="16" xfId="0" applyFont="1" applyFill="1" applyAlignment="1">
      <alignment/>
    </xf>
    <xf numFmtId="2" fontId="6" fillId="7" borderId="16" xfId="0" applyNumberFormat="1" applyFont="1" applyFill="1" applyBorder="1" applyAlignment="1">
      <alignment horizontal="center"/>
    </xf>
    <xf numFmtId="0" fontId="6" fillId="2" borderId="66" xfId="0" applyFont="1" applyFill="1" applyAlignment="1">
      <alignment/>
    </xf>
    <xf numFmtId="2" fontId="6" fillId="7" borderId="45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center"/>
    </xf>
    <xf numFmtId="0" fontId="6" fillId="2" borderId="29" xfId="0" applyFont="1" applyFill="1" applyAlignment="1">
      <alignment/>
    </xf>
    <xf numFmtId="0" fontId="6" fillId="2" borderId="42" xfId="0" applyFont="1" applyFill="1" applyAlignment="1">
      <alignment/>
    </xf>
    <xf numFmtId="0" fontId="6" fillId="4" borderId="21" xfId="0" applyFont="1" applyFill="1" applyAlignment="1">
      <alignment/>
    </xf>
    <xf numFmtId="0" fontId="6" fillId="4" borderId="27" xfId="0" applyFont="1" applyFill="1" applyAlignment="1">
      <alignment/>
    </xf>
    <xf numFmtId="2" fontId="6" fillId="2" borderId="52" xfId="0" applyNumberFormat="1" applyFont="1" applyFill="1" applyAlignment="1">
      <alignment/>
    </xf>
    <xf numFmtId="0" fontId="6" fillId="7" borderId="48" xfId="0" applyFont="1" applyFill="1" applyAlignment="1">
      <alignment/>
    </xf>
    <xf numFmtId="0" fontId="6" fillId="7" borderId="15" xfId="0" applyFont="1" applyFill="1" applyAlignment="1">
      <alignment/>
    </xf>
    <xf numFmtId="0" fontId="6" fillId="7" borderId="67" xfId="0" applyFont="1" applyFill="1" applyAlignment="1">
      <alignment/>
    </xf>
    <xf numFmtId="0" fontId="6" fillId="5" borderId="7" xfId="0" applyFont="1" applyFill="1" applyAlignment="1">
      <alignment/>
    </xf>
    <xf numFmtId="164" fontId="6" fillId="7" borderId="12" xfId="0" applyNumberFormat="1" applyFont="1" applyFill="1" applyAlignment="1">
      <alignment/>
    </xf>
    <xf numFmtId="165" fontId="6" fillId="7" borderId="33" xfId="0" applyNumberFormat="1" applyFont="1" applyFill="1" applyAlignment="1">
      <alignment/>
    </xf>
    <xf numFmtId="164" fontId="6" fillId="2" borderId="20" xfId="0" applyNumberFormat="1" applyFont="1" applyFill="1" applyAlignment="1">
      <alignment/>
    </xf>
    <xf numFmtId="164" fontId="6" fillId="2" borderId="68" xfId="0" applyNumberFormat="1" applyFont="1" applyFill="1" applyAlignment="1">
      <alignment/>
    </xf>
    <xf numFmtId="0" fontId="5" fillId="6" borderId="69" xfId="0" applyFont="1" applyFill="1" applyAlignment="1">
      <alignment/>
    </xf>
    <xf numFmtId="0" fontId="5" fillId="6" borderId="11" xfId="0" applyFont="1" applyFill="1" applyAlignment="1">
      <alignment/>
    </xf>
    <xf numFmtId="164" fontId="6" fillId="3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0" fontId="0" fillId="5" borderId="56" xfId="0" applyFont="1" applyAlignment="1">
      <alignment/>
    </xf>
    <xf numFmtId="0" fontId="2" fillId="5" borderId="47" xfId="0" applyFont="1" applyFill="1" applyAlignment="1">
      <alignment/>
    </xf>
    <xf numFmtId="0" fontId="2" fillId="5" borderId="0" xfId="0" applyFont="1" applyFill="1" applyAlignment="1">
      <alignment/>
    </xf>
    <xf numFmtId="0" fontId="6" fillId="5" borderId="47" xfId="0" applyFont="1" applyFill="1" applyAlignment="1">
      <alignment/>
    </xf>
    <xf numFmtId="0" fontId="6" fillId="5" borderId="70" xfId="0" applyFont="1" applyFill="1" applyAlignment="1">
      <alignment/>
    </xf>
    <xf numFmtId="0" fontId="6" fillId="5" borderId="71" xfId="0" applyFont="1" applyFill="1" applyAlignment="1">
      <alignment/>
    </xf>
    <xf numFmtId="0" fontId="6" fillId="5" borderId="72" xfId="0" applyFont="1" applyFill="1" applyAlignment="1">
      <alignment/>
    </xf>
    <xf numFmtId="0" fontId="5" fillId="5" borderId="0" xfId="0" applyFont="1" applyFill="1" applyAlignment="1">
      <alignment/>
    </xf>
    <xf numFmtId="0" fontId="5" fillId="5" borderId="35" xfId="0" applyFont="1" applyFill="1" applyAlignment="1">
      <alignment/>
    </xf>
    <xf numFmtId="0" fontId="6" fillId="5" borderId="34" xfId="0" applyFont="1" applyFill="1" applyAlignment="1">
      <alignment/>
    </xf>
    <xf numFmtId="2" fontId="6" fillId="5" borderId="0" xfId="0" applyNumberFormat="1" applyFont="1" applyFill="1" applyAlignment="1">
      <alignment/>
    </xf>
    <xf numFmtId="0" fontId="6" fillId="5" borderId="48" xfId="0" applyFont="1" applyFill="1" applyAlignment="1">
      <alignment/>
    </xf>
    <xf numFmtId="0" fontId="6" fillId="5" borderId="34" xfId="0" applyFont="1" applyFill="1" applyBorder="1" applyAlignment="1">
      <alignment horizontal="right"/>
    </xf>
    <xf numFmtId="0" fontId="6" fillId="5" borderId="3" xfId="0" applyFont="1" applyFill="1" applyAlignment="1">
      <alignment/>
    </xf>
    <xf numFmtId="0" fontId="0" fillId="5" borderId="55" xfId="0" applyFont="1" applyAlignment="1">
      <alignment/>
    </xf>
    <xf numFmtId="0" fontId="5" fillId="5" borderId="54" xfId="0" applyFont="1" applyFill="1" applyAlignment="1">
      <alignment/>
    </xf>
    <xf numFmtId="0" fontId="5" fillId="5" borderId="8" xfId="0" applyFont="1" applyFill="1" applyAlignment="1">
      <alignment/>
    </xf>
    <xf numFmtId="0" fontId="6" fillId="5" borderId="54" xfId="0" applyFont="1" applyFill="1" applyBorder="1" applyAlignment="1">
      <alignment horizontal="right"/>
    </xf>
    <xf numFmtId="0" fontId="6" fillId="5" borderId="73" xfId="0" applyFont="1" applyFill="1" applyAlignment="1">
      <alignment/>
    </xf>
    <xf numFmtId="0" fontId="6" fillId="5" borderId="58" xfId="0" applyFont="1" applyFill="1" applyAlignment="1">
      <alignment/>
    </xf>
    <xf numFmtId="0" fontId="6" fillId="5" borderId="73" xfId="0" applyFont="1" applyFill="1" applyBorder="1" applyAlignment="1">
      <alignment horizontal="right"/>
    </xf>
    <xf numFmtId="0" fontId="7" fillId="5" borderId="8" xfId="0" applyFont="1" applyFill="1" applyAlignment="1">
      <alignment/>
    </xf>
    <xf numFmtId="0" fontId="6" fillId="7" borderId="3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3" fillId="3" borderId="0" xfId="0" applyFont="1" applyBorder="1" applyAlignment="1">
      <alignment/>
    </xf>
    <xf numFmtId="0" fontId="6" fillId="5" borderId="54" xfId="0" applyFont="1" applyFill="1" applyBorder="1" applyAlignment="1">
      <alignment/>
    </xf>
    <xf numFmtId="0" fontId="11" fillId="3" borderId="0" xfId="0" applyFont="1" applyBorder="1" applyAlignment="1">
      <alignment/>
    </xf>
    <xf numFmtId="0" fontId="4" fillId="0" borderId="0" xfId="0" applyBorder="1" applyAlignment="1">
      <alignment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6" fillId="2" borderId="12" xfId="0" applyFont="1" applyFill="1" applyAlignment="1" applyProtection="1">
      <alignment/>
      <protection locked="0"/>
    </xf>
    <xf numFmtId="0" fontId="6" fillId="5" borderId="34" xfId="0" applyFont="1" applyFill="1" applyBorder="1" applyAlignment="1">
      <alignment/>
    </xf>
    <xf numFmtId="0" fontId="11" fillId="3" borderId="59" xfId="0" applyFont="1" applyBorder="1" applyAlignment="1">
      <alignment/>
    </xf>
    <xf numFmtId="0" fontId="11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Border="1" applyAlignment="1">
      <alignment/>
    </xf>
    <xf numFmtId="0" fontId="6" fillId="7" borderId="74" xfId="0" applyFont="1" applyFill="1" applyBorder="1" applyAlignment="1">
      <alignment horizontal="center"/>
    </xf>
    <xf numFmtId="0" fontId="6" fillId="7" borderId="7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ill="1" applyBorder="1" applyAlignment="1">
      <alignment/>
    </xf>
    <xf numFmtId="0" fontId="6" fillId="4" borderId="23" xfId="0" applyFont="1" applyFill="1" applyAlignment="1" applyProtection="1">
      <alignment/>
      <protection locked="0"/>
    </xf>
    <xf numFmtId="2" fontId="6" fillId="7" borderId="76" xfId="0" applyNumberFormat="1" applyFont="1" applyFill="1" applyBorder="1" applyAlignment="1">
      <alignment horizontal="center"/>
    </xf>
    <xf numFmtId="2" fontId="6" fillId="7" borderId="77" xfId="0" applyNumberFormat="1" applyFont="1" applyFill="1" applyBorder="1" applyAlignment="1">
      <alignment horizontal="center"/>
    </xf>
    <xf numFmtId="0" fontId="6" fillId="5" borderId="73" xfId="0" applyFont="1" applyFill="1" applyBorder="1" applyAlignment="1">
      <alignment/>
    </xf>
    <xf numFmtId="0" fontId="6" fillId="7" borderId="0" xfId="0" applyFont="1" applyFill="1" applyAlignment="1">
      <alignment/>
    </xf>
    <xf numFmtId="0" fontId="6" fillId="7" borderId="35" xfId="0" applyFont="1" applyFill="1" applyAlignment="1">
      <alignment/>
    </xf>
    <xf numFmtId="0" fontId="6" fillId="5" borderId="51" xfId="0" applyFont="1" applyFill="1" applyBorder="1" applyAlignment="1">
      <alignment/>
    </xf>
    <xf numFmtId="0" fontId="5" fillId="6" borderId="18" xfId="0" applyFont="1" applyFill="1" applyBorder="1" applyAlignment="1">
      <alignment/>
    </xf>
    <xf numFmtId="0" fontId="6" fillId="5" borderId="54" xfId="0" applyFont="1" applyFill="1" applyAlignment="1">
      <alignment horizontal="right"/>
    </xf>
    <xf numFmtId="0" fontId="6" fillId="5" borderId="73" xfId="0" applyFont="1" applyFill="1" applyAlignment="1">
      <alignment horizontal="right"/>
    </xf>
    <xf numFmtId="0" fontId="6" fillId="2" borderId="10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6" fillId="4" borderId="4" xfId="0" applyFont="1" applyFill="1" applyBorder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78" xfId="0" applyFont="1" applyFill="1" applyBorder="1" applyAlignment="1" applyProtection="1">
      <alignment/>
      <protection locked="0"/>
    </xf>
    <xf numFmtId="0" fontId="6" fillId="7" borderId="15" xfId="0" applyFont="1" applyFill="1" applyBorder="1" applyAlignment="1" applyProtection="1">
      <alignment horizontal="center"/>
      <protection locked="0"/>
    </xf>
    <xf numFmtId="2" fontId="6" fillId="2" borderId="79" xfId="0" applyNumberFormat="1" applyFont="1" applyFill="1" applyBorder="1" applyAlignment="1">
      <alignment horizontal="right"/>
    </xf>
    <xf numFmtId="0" fontId="6" fillId="0" borderId="0" xfId="0" applyBorder="1" applyAlignment="1">
      <alignment/>
    </xf>
    <xf numFmtId="0" fontId="6" fillId="5" borderId="73" xfId="0" applyFont="1" applyFill="1" applyBorder="1" applyAlignment="1">
      <alignment horizontal="left"/>
    </xf>
    <xf numFmtId="0" fontId="6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Border="1" applyAlignment="1">
      <alignment/>
    </xf>
    <xf numFmtId="5" fontId="6" fillId="0" borderId="0" xfId="0" applyNumberFormat="1" applyBorder="1" applyAlignment="1">
      <alignment/>
    </xf>
    <xf numFmtId="0" fontId="6" fillId="0" borderId="56" xfId="0" applyBorder="1" applyAlignment="1">
      <alignment/>
    </xf>
    <xf numFmtId="0" fontId="5" fillId="0" borderId="47" xfId="0" applyFill="1" applyBorder="1" applyAlignment="1">
      <alignment/>
    </xf>
    <xf numFmtId="0" fontId="6" fillId="0" borderId="47" xfId="0" applyBorder="1" applyAlignment="1">
      <alignment/>
    </xf>
    <xf numFmtId="5" fontId="6" fillId="0" borderId="47" xfId="0" applyNumberFormat="1" applyBorder="1" applyAlignment="1">
      <alignment/>
    </xf>
    <xf numFmtId="0" fontId="6" fillId="0" borderId="72" xfId="0" applyBorder="1" applyAlignment="1">
      <alignment/>
    </xf>
    <xf numFmtId="0" fontId="6" fillId="0" borderId="25" xfId="0" applyBorder="1" applyAlignment="1">
      <alignment/>
    </xf>
    <xf numFmtId="0" fontId="6" fillId="0" borderId="35" xfId="0" applyBorder="1" applyAlignment="1">
      <alignment/>
    </xf>
    <xf numFmtId="5" fontId="6" fillId="0" borderId="38" xfId="0" applyNumberFormat="1" applyFont="1" applyFill="1" applyBorder="1" applyAlignment="1" applyProtection="1">
      <alignment horizontal="right"/>
      <protection locked="0"/>
    </xf>
    <xf numFmtId="0" fontId="6" fillId="0" borderId="80" xfId="0" applyFill="1" applyBorder="1" applyAlignment="1">
      <alignment horizontal="right"/>
    </xf>
    <xf numFmtId="0" fontId="6" fillId="0" borderId="20" xfId="0" applyFill="1" applyBorder="1" applyAlignment="1">
      <alignment horizontal="right"/>
    </xf>
    <xf numFmtId="9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12" xfId="0" applyFill="1" applyBorder="1" applyAlignment="1">
      <alignment horizontal="right"/>
    </xf>
    <xf numFmtId="5" fontId="6" fillId="0" borderId="33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166" fontId="6" fillId="0" borderId="12" xfId="0" applyNumberFormat="1" applyFont="1" applyFill="1" applyBorder="1" applyAlignment="1" applyProtection="1">
      <alignment horizontal="right"/>
      <protection locked="0"/>
    </xf>
    <xf numFmtId="5" fontId="6" fillId="0" borderId="12" xfId="0" applyNumberFormat="1" applyFont="1" applyFill="1" applyBorder="1" applyAlignment="1" applyProtection="1">
      <alignment horizontal="right"/>
      <protection locked="0"/>
    </xf>
    <xf numFmtId="167" fontId="6" fillId="0" borderId="12" xfId="0" applyNumberFormat="1" applyFont="1" applyFill="1" applyBorder="1" applyAlignment="1" applyProtection="1">
      <alignment horizontal="right"/>
      <protection locked="0"/>
    </xf>
    <xf numFmtId="167" fontId="6" fillId="0" borderId="33" xfId="17" applyNumberFormat="1" applyFont="1" applyFill="1" applyBorder="1" applyAlignment="1" applyProtection="1">
      <alignment horizontal="right"/>
      <protection locked="0"/>
    </xf>
    <xf numFmtId="0" fontId="6" fillId="0" borderId="50" xfId="0" applyFill="1" applyBorder="1" applyAlignment="1">
      <alignment horizontal="right"/>
    </xf>
    <xf numFmtId="168" fontId="6" fillId="0" borderId="33" xfId="0" applyNumberFormat="1" applyFont="1" applyFill="1" applyBorder="1" applyAlignment="1" applyProtection="1">
      <alignment horizontal="right"/>
      <protection locked="0"/>
    </xf>
    <xf numFmtId="0" fontId="6" fillId="0" borderId="81" xfId="0" applyFill="1" applyBorder="1" applyAlignment="1">
      <alignment horizontal="right"/>
    </xf>
    <xf numFmtId="0" fontId="6" fillId="0" borderId="48" xfId="0" applyBorder="1" applyAlignment="1">
      <alignment horizontal="right"/>
    </xf>
    <xf numFmtId="5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48" xfId="0" applyFont="1" applyBorder="1" applyAlignment="1">
      <alignment horizontal="right"/>
    </xf>
    <xf numFmtId="5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56" xfId="0" applyFill="1" applyBorder="1" applyAlignment="1">
      <alignment/>
    </xf>
    <xf numFmtId="0" fontId="6" fillId="0" borderId="69" xfId="0" applyFill="1" applyBorder="1" applyAlignment="1">
      <alignment horizontal="right"/>
    </xf>
    <xf numFmtId="5" fontId="6" fillId="0" borderId="40" xfId="0" applyNumberFormat="1" applyFill="1" applyBorder="1" applyAlignment="1" applyProtection="1">
      <alignment/>
      <protection/>
    </xf>
    <xf numFmtId="0" fontId="6" fillId="0" borderId="80" xfId="0" applyFont="1" applyFill="1" applyBorder="1" applyAlignment="1">
      <alignment horizontal="left"/>
    </xf>
    <xf numFmtId="5" fontId="6" fillId="0" borderId="33" xfId="0" applyNumberFormat="1" applyFill="1" applyBorder="1" applyAlignment="1" applyProtection="1">
      <alignment/>
      <protection/>
    </xf>
    <xf numFmtId="0" fontId="6" fillId="0" borderId="81" xfId="0" applyFont="1" applyFill="1" applyBorder="1" applyAlignment="1">
      <alignment horizontal="left"/>
    </xf>
    <xf numFmtId="0" fontId="6" fillId="0" borderId="68" xfId="0" applyFill="1" applyBorder="1" applyAlignment="1">
      <alignment horizontal="right"/>
    </xf>
    <xf numFmtId="5" fontId="6" fillId="0" borderId="3" xfId="0" applyNumberFormat="1" applyFill="1" applyBorder="1" applyAlignment="1" applyProtection="1">
      <alignment/>
      <protection/>
    </xf>
    <xf numFmtId="5" fontId="5" fillId="0" borderId="47" xfId="0" applyNumberFormat="1" applyFill="1" applyBorder="1" applyAlignment="1">
      <alignment horizontal="center"/>
    </xf>
    <xf numFmtId="5" fontId="5" fillId="0" borderId="72" xfId="0" applyNumberFormat="1" applyFont="1" applyFill="1" applyBorder="1" applyAlignment="1">
      <alignment horizontal="center"/>
    </xf>
    <xf numFmtId="5" fontId="6" fillId="0" borderId="24" xfId="0" applyNumberFormat="1" applyFill="1" applyBorder="1" applyAlignment="1">
      <alignment/>
    </xf>
    <xf numFmtId="0" fontId="6" fillId="0" borderId="80" xfId="0" applyFill="1" applyBorder="1" applyAlignment="1">
      <alignment/>
    </xf>
    <xf numFmtId="0" fontId="6" fillId="0" borderId="82" xfId="0" applyFill="1" applyBorder="1" applyAlignment="1">
      <alignment/>
    </xf>
    <xf numFmtId="5" fontId="6" fillId="0" borderId="12" xfId="0" applyNumberFormat="1" applyFill="1" applyBorder="1" applyAlignment="1">
      <alignment/>
    </xf>
    <xf numFmtId="5" fontId="6" fillId="0" borderId="31" xfId="0" applyNumberFormat="1" applyFill="1" applyBorder="1" applyAlignment="1">
      <alignment/>
    </xf>
    <xf numFmtId="0" fontId="5" fillId="0" borderId="81" xfId="0" applyFill="1" applyBorder="1" applyAlignment="1">
      <alignment/>
    </xf>
    <xf numFmtId="0" fontId="6" fillId="0" borderId="68" xfId="0" applyFill="1" applyBorder="1" applyAlignment="1">
      <alignment/>
    </xf>
    <xf numFmtId="5" fontId="6" fillId="0" borderId="19" xfId="0" applyNumberFormat="1" applyFill="1" applyBorder="1" applyAlignment="1">
      <alignment/>
    </xf>
    <xf numFmtId="0" fontId="6" fillId="0" borderId="0" xfId="0" applyFill="1" applyBorder="1" applyAlignment="1">
      <alignment/>
    </xf>
    <xf numFmtId="5" fontId="6" fillId="0" borderId="0" xfId="0" applyNumberFormat="1" applyFill="1" applyBorder="1" applyAlignment="1">
      <alignment/>
    </xf>
    <xf numFmtId="5" fontId="6" fillId="0" borderId="0" xfId="0" applyNumberFormat="1" applyBorder="1" applyAlignment="1">
      <alignment/>
    </xf>
    <xf numFmtId="0" fontId="6" fillId="0" borderId="0" xfId="0" applyBorder="1" applyAlignment="1">
      <alignment/>
    </xf>
    <xf numFmtId="0" fontId="6" fillId="0" borderId="55" xfId="0" applyBorder="1" applyAlignment="1">
      <alignment/>
    </xf>
    <xf numFmtId="0" fontId="6" fillId="0" borderId="48" xfId="0" applyBorder="1" applyAlignment="1">
      <alignment/>
    </xf>
    <xf numFmtId="5" fontId="6" fillId="0" borderId="48" xfId="0" applyNumberFormat="1" applyBorder="1" applyAlignment="1">
      <alignment/>
    </xf>
    <xf numFmtId="0" fontId="6" fillId="0" borderId="3" xfId="0" applyBorder="1" applyAlignment="1">
      <alignment/>
    </xf>
    <xf numFmtId="5" fontId="6" fillId="0" borderId="0" xfId="0" applyNumberFormat="1" applyBorder="1" applyAlignment="1">
      <alignment/>
    </xf>
    <xf numFmtId="0" fontId="4" fillId="0" borderId="56" xfId="0" applyFill="1" applyBorder="1" applyAlignment="1">
      <alignment/>
    </xf>
    <xf numFmtId="5" fontId="5" fillId="0" borderId="0" xfId="0" applyNumberFormat="1" applyFont="1" applyBorder="1" applyAlignment="1">
      <alignment horizontal="center"/>
    </xf>
    <xf numFmtId="5" fontId="5" fillId="0" borderId="24" xfId="0" applyNumberFormat="1" applyFont="1" applyFill="1" applyBorder="1" applyAlignment="1">
      <alignment horizontal="center"/>
    </xf>
    <xf numFmtId="0" fontId="9" fillId="0" borderId="47" xfId="0" applyFill="1" applyBorder="1" applyAlignment="1">
      <alignment/>
    </xf>
    <xf numFmtId="0" fontId="10" fillId="0" borderId="25" xfId="0" applyFill="1" applyBorder="1" applyAlignment="1">
      <alignment/>
    </xf>
    <xf numFmtId="0" fontId="6" fillId="0" borderId="25" xfId="0" applyFill="1" applyBorder="1" applyAlignment="1">
      <alignment/>
    </xf>
    <xf numFmtId="0" fontId="6" fillId="0" borderId="0" xfId="0" applyFill="1" applyBorder="1" applyAlignment="1">
      <alignment/>
    </xf>
    <xf numFmtId="0" fontId="6" fillId="0" borderId="35" xfId="0" applyFill="1" applyBorder="1" applyAlignment="1">
      <alignment/>
    </xf>
    <xf numFmtId="2" fontId="6" fillId="0" borderId="83" xfId="0" applyNumberFormat="1" applyFill="1" applyBorder="1" applyAlignment="1">
      <alignment/>
    </xf>
    <xf numFmtId="2" fontId="6" fillId="0" borderId="0" xfId="0" applyNumberFormat="1" applyFill="1" applyBorder="1" applyAlignment="1">
      <alignment/>
    </xf>
    <xf numFmtId="2" fontId="6" fillId="0" borderId="82" xfId="0" applyNumberForma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6" fillId="0" borderId="52" xfId="0" applyNumberFormat="1" applyFill="1" applyBorder="1" applyAlignment="1">
      <alignment/>
    </xf>
    <xf numFmtId="0" fontId="6" fillId="0" borderId="55" xfId="0" applyFill="1" applyBorder="1" applyAlignment="1">
      <alignment/>
    </xf>
    <xf numFmtId="0" fontId="6" fillId="0" borderId="48" xfId="0" applyFill="1" applyBorder="1" applyAlignment="1">
      <alignment/>
    </xf>
    <xf numFmtId="0" fontId="6" fillId="0" borderId="3" xfId="0" applyFill="1" applyBorder="1" applyAlignment="1">
      <alignment/>
    </xf>
    <xf numFmtId="0" fontId="2" fillId="0" borderId="48" xfId="0" applyFont="1" applyFill="1" applyBorder="1" applyAlignment="1">
      <alignment/>
    </xf>
    <xf numFmtId="0" fontId="8" fillId="0" borderId="47" xfId="0" applyFill="1" applyBorder="1" applyAlignment="1">
      <alignment/>
    </xf>
    <xf numFmtId="0" fontId="6" fillId="0" borderId="47" xfId="0" applyFill="1" applyBorder="1" applyAlignment="1">
      <alignment/>
    </xf>
    <xf numFmtId="0" fontId="6" fillId="0" borderId="72" xfId="0" applyFill="1" applyBorder="1" applyAlignment="1">
      <alignment/>
    </xf>
    <xf numFmtId="0" fontId="8" fillId="0" borderId="48" xfId="0" applyFill="1" applyBorder="1" applyAlignment="1">
      <alignment/>
    </xf>
    <xf numFmtId="0" fontId="5" fillId="0" borderId="61" xfId="0" applyFill="1" applyBorder="1" applyAlignment="1">
      <alignment/>
    </xf>
    <xf numFmtId="0" fontId="5" fillId="0" borderId="62" xfId="0" applyFill="1" applyBorder="1" applyAlignment="1">
      <alignment/>
    </xf>
    <xf numFmtId="2" fontId="6" fillId="0" borderId="38" xfId="0" applyNumberFormat="1" applyFont="1" applyFill="1" applyBorder="1" applyAlignment="1">
      <alignment horizontal="right"/>
    </xf>
    <xf numFmtId="2" fontId="6" fillId="0" borderId="80" xfId="0" applyNumberFormat="1" applyFill="1" applyBorder="1" applyAlignment="1">
      <alignment/>
    </xf>
    <xf numFmtId="2" fontId="6" fillId="0" borderId="33" xfId="0" applyNumberFormat="1" applyFont="1" applyFill="1" applyBorder="1" applyAlignment="1">
      <alignment horizontal="right"/>
    </xf>
    <xf numFmtId="2" fontId="6" fillId="0" borderId="81" xfId="0" applyNumberForma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5" fillId="0" borderId="56" xfId="0" applyNumberFormat="1" applyFill="1" applyBorder="1" applyAlignment="1">
      <alignment/>
    </xf>
    <xf numFmtId="2" fontId="6" fillId="0" borderId="47" xfId="0" applyNumberFormat="1" applyFill="1" applyBorder="1" applyAlignment="1">
      <alignment/>
    </xf>
    <xf numFmtId="2" fontId="6" fillId="0" borderId="72" xfId="0" applyNumberFormat="1" applyFont="1" applyFill="1" applyBorder="1" applyAlignment="1">
      <alignment horizontal="right"/>
    </xf>
    <xf numFmtId="2" fontId="6" fillId="0" borderId="84" xfId="0" applyNumberFormat="1" applyFill="1" applyBorder="1" applyAlignment="1">
      <alignment/>
    </xf>
    <xf numFmtId="2" fontId="6" fillId="0" borderId="85" xfId="0" applyNumberFormat="1" applyFill="1" applyBorder="1" applyAlignment="1">
      <alignment/>
    </xf>
    <xf numFmtId="2" fontId="6" fillId="0" borderId="37" xfId="0" applyNumberFormat="1" applyFont="1" applyFill="1" applyBorder="1" applyAlignment="1">
      <alignment horizontal="right"/>
    </xf>
    <xf numFmtId="2" fontId="6" fillId="0" borderId="51" xfId="0" applyNumberFormat="1" applyFill="1" applyBorder="1" applyAlignment="1">
      <alignment/>
    </xf>
    <xf numFmtId="2" fontId="6" fillId="0" borderId="36" xfId="0" applyNumberFormat="1" applyFont="1" applyFill="1" applyBorder="1" applyAlignment="1">
      <alignment horizontal="right"/>
    </xf>
    <xf numFmtId="167" fontId="6" fillId="0" borderId="33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0" fontId="6" fillId="2" borderId="52" xfId="0" applyFont="1" applyFill="1" applyBorder="1" applyAlignment="1">
      <alignment/>
    </xf>
    <xf numFmtId="0" fontId="6" fillId="2" borderId="32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13" fillId="3" borderId="64" xfId="0" applyFont="1" applyBorder="1" applyAlignment="1">
      <alignment/>
    </xf>
    <xf numFmtId="0" fontId="6" fillId="0" borderId="34" xfId="0" applyFill="1" applyBorder="1" applyAlignment="1">
      <alignment/>
    </xf>
    <xf numFmtId="0" fontId="6" fillId="0" borderId="36" xfId="0" applyFill="1" applyBorder="1" applyAlignment="1">
      <alignment/>
    </xf>
    <xf numFmtId="0" fontId="6" fillId="0" borderId="54" xfId="0" applyFill="1" applyBorder="1" applyAlignment="1">
      <alignment/>
    </xf>
    <xf numFmtId="0" fontId="6" fillId="0" borderId="33" xfId="0" applyFill="1" applyBorder="1" applyAlignment="1">
      <alignment/>
    </xf>
    <xf numFmtId="0" fontId="6" fillId="0" borderId="8" xfId="0" applyFill="1" applyBorder="1" applyAlignment="1">
      <alignment/>
    </xf>
    <xf numFmtId="0" fontId="6" fillId="0" borderId="10" xfId="0" applyFill="1" applyBorder="1" applyAlignment="1">
      <alignment/>
    </xf>
    <xf numFmtId="0" fontId="6" fillId="0" borderId="27" xfId="0" applyFill="1" applyBorder="1" applyAlignment="1">
      <alignment/>
    </xf>
    <xf numFmtId="0" fontId="6" fillId="0" borderId="86" xfId="0" applyFill="1" applyBorder="1" applyAlignment="1">
      <alignment/>
    </xf>
    <xf numFmtId="0" fontId="5" fillId="0" borderId="18" xfId="0" applyFill="1" applyBorder="1" applyAlignment="1">
      <alignment/>
    </xf>
    <xf numFmtId="0" fontId="5" fillId="0" borderId="86" xfId="0" applyFill="1" applyBorder="1" applyAlignment="1">
      <alignment/>
    </xf>
    <xf numFmtId="0" fontId="10" fillId="0" borderId="28" xfId="0" applyFill="1" applyBorder="1" applyAlignment="1">
      <alignment/>
    </xf>
    <xf numFmtId="0" fontId="6" fillId="0" borderId="73" xfId="0" applyFill="1" applyBorder="1" applyAlignment="1">
      <alignment/>
    </xf>
    <xf numFmtId="0" fontId="6" fillId="0" borderId="37" xfId="0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5" fillId="0" borderId="0" xfId="0" applyFill="1" applyBorder="1" applyAlignment="1">
      <alignment/>
    </xf>
    <xf numFmtId="0" fontId="6" fillId="0" borderId="7" xfId="0" applyFill="1" applyBorder="1" applyAlignment="1">
      <alignment/>
    </xf>
    <xf numFmtId="0" fontId="6" fillId="0" borderId="54" xfId="0" applyFont="1" applyFill="1" applyBorder="1" applyAlignment="1">
      <alignment horizontal="left"/>
    </xf>
    <xf numFmtId="0" fontId="6" fillId="0" borderId="12" xfId="0" applyFill="1" applyBorder="1" applyAlignment="1">
      <alignment/>
    </xf>
    <xf numFmtId="0" fontId="6" fillId="0" borderId="11" xfId="0" applyFill="1" applyBorder="1" applyAlignment="1">
      <alignment/>
    </xf>
    <xf numFmtId="0" fontId="6" fillId="0" borderId="40" xfId="0" applyFill="1" applyBorder="1" applyAlignment="1">
      <alignment/>
    </xf>
    <xf numFmtId="0" fontId="6" fillId="0" borderId="19" xfId="0" applyFill="1" applyBorder="1" applyAlignment="1">
      <alignment/>
    </xf>
    <xf numFmtId="0" fontId="6" fillId="0" borderId="87" xfId="0" applyFill="1" applyBorder="1" applyAlignment="1">
      <alignment/>
    </xf>
    <xf numFmtId="0" fontId="6" fillId="0" borderId="75" xfId="0" applyFill="1" applyBorder="1" applyAlignment="1">
      <alignment/>
    </xf>
    <xf numFmtId="0" fontId="6" fillId="0" borderId="88" xfId="0" applyFill="1" applyBorder="1" applyAlignment="1">
      <alignment/>
    </xf>
    <xf numFmtId="0" fontId="6" fillId="0" borderId="11" xfId="0" applyFill="1" applyBorder="1" applyAlignment="1" applyProtection="1">
      <alignment/>
      <protection locked="0"/>
    </xf>
    <xf numFmtId="0" fontId="9" fillId="0" borderId="56" xfId="0" applyFont="1" applyFill="1" applyBorder="1" applyAlignment="1">
      <alignment/>
    </xf>
    <xf numFmtId="0" fontId="6" fillId="0" borderId="47" xfId="0" applyFill="1" applyBorder="1" applyAlignment="1">
      <alignment/>
    </xf>
    <xf numFmtId="0" fontId="6" fillId="0" borderId="72" xfId="0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35" xfId="0" applyFill="1" applyBorder="1" applyAlignment="1">
      <alignment/>
    </xf>
    <xf numFmtId="0" fontId="6" fillId="0" borderId="25" xfId="0" applyFill="1" applyBorder="1" applyAlignment="1">
      <alignment/>
    </xf>
    <xf numFmtId="0" fontId="6" fillId="0" borderId="55" xfId="0" applyFill="1" applyBorder="1" applyAlignment="1">
      <alignment/>
    </xf>
    <xf numFmtId="0" fontId="6" fillId="0" borderId="48" xfId="0" applyFill="1" applyBorder="1" applyAlignment="1">
      <alignment/>
    </xf>
    <xf numFmtId="0" fontId="6" fillId="0" borderId="3" xfId="0" applyFill="1" applyBorder="1" applyAlignment="1">
      <alignment/>
    </xf>
    <xf numFmtId="0" fontId="13" fillId="6" borderId="0" xfId="0" applyFont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Border="1" applyAlignment="1">
      <alignment/>
    </xf>
    <xf numFmtId="0" fontId="13" fillId="3" borderId="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3" fillId="3" borderId="0" xfId="0" applyAlignment="1">
      <alignment/>
    </xf>
    <xf numFmtId="0" fontId="11" fillId="3" borderId="0" xfId="0" applyBorder="1" applyAlignment="1">
      <alignment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3" borderId="0" xfId="0" applyAlignment="1">
      <alignment/>
    </xf>
    <xf numFmtId="0" fontId="0" fillId="5" borderId="25" xfId="0" applyAlignment="1">
      <alignment/>
    </xf>
    <xf numFmtId="0" fontId="11" fillId="3" borderId="0" xfId="0" applyBorder="1" applyAlignment="1">
      <alignment vertical="top"/>
    </xf>
    <xf numFmtId="14" fontId="6" fillId="3" borderId="0" xfId="0" applyAlignment="1">
      <alignment/>
    </xf>
    <xf numFmtId="164" fontId="6" fillId="2" borderId="12" xfId="0" applyNumberFormat="1" applyFill="1" applyAlignment="1">
      <alignment/>
    </xf>
    <xf numFmtId="165" fontId="6" fillId="2" borderId="31" xfId="0" applyNumberFormat="1" applyFill="1" applyAlignment="1">
      <alignment/>
    </xf>
    <xf numFmtId="0" fontId="6" fillId="5" borderId="0" xfId="0" applyAlignment="1">
      <alignment/>
    </xf>
    <xf numFmtId="165" fontId="6" fillId="5" borderId="0" xfId="0" applyNumberFormat="1" applyAlignment="1">
      <alignment/>
    </xf>
    <xf numFmtId="0" fontId="6" fillId="5" borderId="35" xfId="0" applyFill="1" applyAlignment="1">
      <alignment/>
    </xf>
    <xf numFmtId="0" fontId="6" fillId="3" borderId="0" xfId="0" applyAlignment="1">
      <alignment/>
    </xf>
    <xf numFmtId="0" fontId="6" fillId="0" borderId="0" xfId="0" applyAlignment="1">
      <alignment/>
    </xf>
    <xf numFmtId="2" fontId="6" fillId="8" borderId="52" xfId="0" applyNumberFormat="1" applyFill="1" applyAlignment="1">
      <alignment/>
    </xf>
    <xf numFmtId="0" fontId="6" fillId="2" borderId="84" xfId="0" applyFill="1" applyAlignment="1">
      <alignment/>
    </xf>
    <xf numFmtId="2" fontId="6" fillId="2" borderId="15" xfId="0" applyNumberFormat="1" applyFill="1" applyAlignment="1">
      <alignment/>
    </xf>
    <xf numFmtId="0" fontId="6" fillId="2" borderId="67" xfId="0" applyFill="1" applyAlignment="1">
      <alignment/>
    </xf>
    <xf numFmtId="0" fontId="6" fillId="0" borderId="5" xfId="0" applyFont="1" applyFill="1" applyBorder="1" applyAlignment="1">
      <alignment horizontal="left"/>
    </xf>
    <xf numFmtId="0" fontId="5" fillId="6" borderId="11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6" fillId="8" borderId="15" xfId="0" applyNumberFormat="1" applyFill="1" applyAlignment="1">
      <alignment/>
    </xf>
    <xf numFmtId="0" fontId="6" fillId="5" borderId="25" xfId="0" applyFill="1" applyAlignment="1">
      <alignment/>
    </xf>
    <xf numFmtId="0" fontId="6" fillId="5" borderId="73" xfId="0" applyFill="1" applyAlignment="1">
      <alignment/>
    </xf>
    <xf numFmtId="0" fontId="6" fillId="4" borderId="23" xfId="0" applyFill="1" applyAlignment="1" applyProtection="1">
      <alignment/>
      <protection locked="0"/>
    </xf>
    <xf numFmtId="0" fontId="2" fillId="0" borderId="0" xfId="0" applyBorder="1" applyAlignment="1">
      <alignment/>
    </xf>
    <xf numFmtId="0" fontId="6" fillId="9" borderId="0" xfId="0" applyAlignment="1">
      <alignment/>
    </xf>
    <xf numFmtId="2" fontId="6" fillId="8" borderId="32" xfId="0" applyNumberFormat="1" applyFill="1" applyAlignment="1">
      <alignment/>
    </xf>
    <xf numFmtId="2" fontId="6" fillId="2" borderId="65" xfId="0" applyNumberFormat="1" applyFill="1" applyAlignment="1">
      <alignment/>
    </xf>
    <xf numFmtId="164" fontId="6" fillId="5" borderId="0" xfId="0" applyNumberFormat="1" applyAlignment="1">
      <alignment/>
    </xf>
    <xf numFmtId="0" fontId="6" fillId="5" borderId="54" xfId="0" applyFill="1" applyAlignment="1">
      <alignment/>
    </xf>
    <xf numFmtId="0" fontId="6" fillId="2" borderId="82" xfId="0" applyFill="1" applyAlignment="1">
      <alignment/>
    </xf>
    <xf numFmtId="0" fontId="6" fillId="0" borderId="56" xfId="0" applyFill="1" applyBorder="1" applyAlignment="1">
      <alignment/>
    </xf>
    <xf numFmtId="0" fontId="5" fillId="0" borderId="0" xfId="0" applyBorder="1" applyAlignment="1">
      <alignment/>
    </xf>
    <xf numFmtId="0" fontId="6" fillId="0" borderId="4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2" fontId="6" fillId="2" borderId="32" xfId="0" applyNumberFormat="1" applyFill="1" applyAlignment="1">
      <alignment/>
    </xf>
    <xf numFmtId="0" fontId="6" fillId="2" borderId="89" xfId="0" applyFill="1" applyAlignment="1">
      <alignment/>
    </xf>
    <xf numFmtId="0" fontId="6" fillId="2" borderId="90" xfId="0" applyFill="1" applyAlignment="1">
      <alignment/>
    </xf>
    <xf numFmtId="0" fontId="6" fillId="2" borderId="88" xfId="0" applyFill="1" applyAlignment="1">
      <alignment/>
    </xf>
    <xf numFmtId="0" fontId="5" fillId="6" borderId="62" xfId="0" applyFill="1" applyBorder="1" applyAlignment="1">
      <alignment/>
    </xf>
    <xf numFmtId="0" fontId="6" fillId="0" borderId="91" xfId="0" applyFont="1" applyFill="1" applyBorder="1" applyAlignment="1">
      <alignment horizontal="left"/>
    </xf>
    <xf numFmtId="0" fontId="13" fillId="3" borderId="0" xfId="0" applyAlignment="1">
      <alignment/>
    </xf>
    <xf numFmtId="2" fontId="6" fillId="2" borderId="90" xfId="0" applyNumberFormat="1" applyFill="1" applyAlignment="1">
      <alignment/>
    </xf>
    <xf numFmtId="2" fontId="6" fillId="2" borderId="2" xfId="0" applyNumberFormat="1" applyFill="1" applyAlignment="1">
      <alignment/>
    </xf>
    <xf numFmtId="0" fontId="6" fillId="5" borderId="34" xfId="0" applyFill="1" applyAlignment="1">
      <alignment/>
    </xf>
    <xf numFmtId="0" fontId="6" fillId="2" borderId="52" xfId="0" applyFill="1" applyAlignment="1">
      <alignment/>
    </xf>
    <xf numFmtId="0" fontId="6" fillId="2" borderId="2" xfId="0" applyFill="1" applyAlignment="1">
      <alignment/>
    </xf>
    <xf numFmtId="0" fontId="6" fillId="2" borderId="24" xfId="0" applyFill="1" applyAlignment="1">
      <alignment/>
    </xf>
    <xf numFmtId="0" fontId="6" fillId="0" borderId="32" xfId="0" applyFill="1" applyBorder="1" applyAlignment="1">
      <alignment/>
    </xf>
    <xf numFmtId="0" fontId="6" fillId="0" borderId="92" xfId="0" applyFont="1" applyFill="1" applyBorder="1" applyAlignment="1">
      <alignment horizontal="centerContinuous"/>
    </xf>
    <xf numFmtId="0" fontId="5" fillId="0" borderId="93" xfId="0" applyFont="1" applyFill="1" applyBorder="1" applyAlignment="1">
      <alignment horizontal="centerContinuous"/>
    </xf>
    <xf numFmtId="0" fontId="5" fillId="0" borderId="94" xfId="0" applyFont="1" applyFill="1" applyBorder="1" applyAlignment="1">
      <alignment horizontal="left"/>
    </xf>
    <xf numFmtId="0" fontId="6" fillId="0" borderId="83" xfId="0" applyFill="1" applyBorder="1" applyAlignment="1">
      <alignment/>
    </xf>
    <xf numFmtId="0" fontId="6" fillId="0" borderId="49" xfId="0" applyFont="1" applyFill="1" applyBorder="1" applyAlignment="1">
      <alignment horizontal="centerContinuous"/>
    </xf>
    <xf numFmtId="0" fontId="6" fillId="0" borderId="52" xfId="0" applyFill="1" applyBorder="1" applyAlignment="1">
      <alignment/>
    </xf>
    <xf numFmtId="0" fontId="6" fillId="0" borderId="13" xfId="0" applyFill="1" applyBorder="1" applyAlignment="1">
      <alignment/>
    </xf>
    <xf numFmtId="0" fontId="6" fillId="0" borderId="79" xfId="0" applyFill="1" applyBorder="1" applyAlignment="1">
      <alignment/>
    </xf>
    <xf numFmtId="0" fontId="6" fillId="0" borderId="15" xfId="0" applyFill="1" applyBorder="1" applyAlignment="1">
      <alignment/>
    </xf>
    <xf numFmtId="0" fontId="6" fillId="0" borderId="75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5" fillId="0" borderId="75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Continuous"/>
    </xf>
    <xf numFmtId="0" fontId="5" fillId="10" borderId="32" xfId="0" applyFill="1" applyBorder="1" applyAlignment="1">
      <alignment/>
    </xf>
    <xf numFmtId="0" fontId="5" fillId="10" borderId="56" xfId="0" applyFill="1" applyBorder="1" applyAlignment="1">
      <alignment/>
    </xf>
    <xf numFmtId="0" fontId="5" fillId="10" borderId="51" xfId="0" applyFill="1" applyBorder="1" applyAlignment="1">
      <alignment/>
    </xf>
    <xf numFmtId="0" fontId="6" fillId="0" borderId="81" xfId="0" applyFill="1" applyBorder="1" applyAlignment="1">
      <alignment/>
    </xf>
    <xf numFmtId="0" fontId="5" fillId="10" borderId="95" xfId="0" applyFill="1" applyBorder="1" applyAlignment="1">
      <alignment/>
    </xf>
    <xf numFmtId="0" fontId="6" fillId="0" borderId="84" xfId="0" applyFill="1" applyBorder="1" applyAlignment="1">
      <alignment/>
    </xf>
    <xf numFmtId="0" fontId="5" fillId="10" borderId="72" xfId="0" applyFill="1" applyBorder="1" applyAlignment="1">
      <alignment/>
    </xf>
    <xf numFmtId="0" fontId="5" fillId="10" borderId="24" xfId="0" applyFill="1" applyBorder="1" applyAlignment="1">
      <alignment/>
    </xf>
    <xf numFmtId="0" fontId="6" fillId="0" borderId="35" xfId="0" applyFont="1" applyFill="1" applyBorder="1" applyAlignment="1">
      <alignment horizontal="left"/>
    </xf>
    <xf numFmtId="0" fontId="6" fillId="0" borderId="53" xfId="0" applyFill="1" applyBorder="1" applyAlignment="1">
      <alignment/>
    </xf>
    <xf numFmtId="0" fontId="5" fillId="10" borderId="96" xfId="0" applyFill="1" applyBorder="1" applyAlignment="1">
      <alignment/>
    </xf>
    <xf numFmtId="0" fontId="5" fillId="10" borderId="97" xfId="0" applyFill="1" applyBorder="1" applyAlignment="1">
      <alignment/>
    </xf>
    <xf numFmtId="0" fontId="6" fillId="0" borderId="98" xfId="0" applyFill="1" applyBorder="1" applyAlignment="1">
      <alignment/>
    </xf>
    <xf numFmtId="0" fontId="6" fillId="0" borderId="99" xfId="0" applyFill="1" applyBorder="1" applyAlignment="1">
      <alignment/>
    </xf>
    <xf numFmtId="0" fontId="5" fillId="10" borderId="100" xfId="0" applyFill="1" applyBorder="1" applyAlignment="1">
      <alignment/>
    </xf>
    <xf numFmtId="0" fontId="5" fillId="10" borderId="100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left"/>
    </xf>
    <xf numFmtId="0" fontId="6" fillId="0" borderId="99" xfId="0" applyFont="1" applyFill="1" applyBorder="1" applyAlignment="1">
      <alignment horizontal="left"/>
    </xf>
    <xf numFmtId="0" fontId="6" fillId="0" borderId="101" xfId="0" applyFill="1" applyBorder="1" applyAlignment="1">
      <alignment/>
    </xf>
    <xf numFmtId="0" fontId="6" fillId="0" borderId="102" xfId="0" applyFill="1" applyBorder="1" applyAlignment="1">
      <alignment/>
    </xf>
    <xf numFmtId="0" fontId="6" fillId="0" borderId="103" xfId="0" applyFill="1" applyBorder="1" applyAlignment="1">
      <alignment/>
    </xf>
    <xf numFmtId="2" fontId="6" fillId="11" borderId="15" xfId="0" applyNumberFormat="1" applyFill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0" fontId="5" fillId="5" borderId="0" xfId="0" applyFont="1" applyBorder="1" applyAlignment="1">
      <alignment horizontal="left"/>
    </xf>
    <xf numFmtId="0" fontId="6" fillId="5" borderId="0" xfId="0" applyFont="1" applyBorder="1" applyAlignment="1">
      <alignment horizontal="center"/>
    </xf>
    <xf numFmtId="2" fontId="6" fillId="5" borderId="0" xfId="0" applyNumberFormat="1" applyFont="1" applyBorder="1" applyAlignment="1">
      <alignment horizontal="right"/>
    </xf>
    <xf numFmtId="0" fontId="5" fillId="5" borderId="0" xfId="0" applyFont="1" applyBorder="1" applyAlignment="1">
      <alignment horizontal="center"/>
    </xf>
    <xf numFmtId="2" fontId="5" fillId="5" borderId="0" xfId="0" applyNumberFormat="1" applyFont="1" applyBorder="1" applyAlignment="1">
      <alignment horizontal="right"/>
    </xf>
    <xf numFmtId="0" fontId="6" fillId="5" borderId="0" xfId="0" applyFont="1" applyBorder="1" applyAlignment="1">
      <alignment horizontal="center"/>
    </xf>
    <xf numFmtId="0" fontId="5" fillId="5" borderId="0" xfId="0" applyFont="1" applyBorder="1" applyAlignment="1">
      <alignment horizontal="left"/>
    </xf>
    <xf numFmtId="2" fontId="6" fillId="5" borderId="0" xfId="0" applyNumberFormat="1" applyFont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0" fontId="6" fillId="11" borderId="30" xfId="0" applyFont="1" applyFill="1" applyAlignment="1">
      <alignment/>
    </xf>
    <xf numFmtId="0" fontId="6" fillId="11" borderId="42" xfId="0" applyFont="1" applyFill="1" applyAlignment="1">
      <alignment/>
    </xf>
    <xf numFmtId="0" fontId="6" fillId="11" borderId="2" xfId="0" applyFont="1" applyFill="1" applyAlignment="1">
      <alignment/>
    </xf>
    <xf numFmtId="0" fontId="6" fillId="11" borderId="29" xfId="0" applyFont="1" applyFill="1" applyAlignment="1">
      <alignment/>
    </xf>
    <xf numFmtId="0" fontId="6" fillId="11" borderId="16" xfId="0" applyFont="1" applyFill="1" applyAlignment="1">
      <alignment/>
    </xf>
    <xf numFmtId="2" fontId="6" fillId="11" borderId="29" xfId="0" applyNumberFormat="1" applyFont="1" applyFill="1" applyBorder="1" applyAlignment="1">
      <alignment horizontal="center"/>
    </xf>
    <xf numFmtId="0" fontId="11" fillId="3" borderId="0" xfId="0" applyFont="1" applyAlignment="1">
      <alignment/>
    </xf>
    <xf numFmtId="0" fontId="5" fillId="0" borderId="0" xfId="0" applyFont="1" applyBorder="1" applyAlignment="1">
      <alignment/>
    </xf>
    <xf numFmtId="0" fontId="11" fillId="3" borderId="0" xfId="0" applyFont="1" applyFill="1" applyAlignment="1">
      <alignment/>
    </xf>
    <xf numFmtId="0" fontId="13" fillId="3" borderId="0" xfId="0" applyFont="1" applyFill="1" applyBorder="1" applyAlignment="1">
      <alignment/>
    </xf>
    <xf numFmtId="2" fontId="6" fillId="0" borderId="80" xfId="0" applyNumberFormat="1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68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88" customWidth="1"/>
    <col min="2" max="4" width="2.421875" style="88" customWidth="1"/>
    <col min="5" max="5" width="86.00390625" style="88" customWidth="1"/>
    <col min="6" max="255" width="8.421875" style="88" customWidth="1"/>
  </cols>
  <sheetData>
    <row r="2" ht="20.25">
      <c r="B2" s="26" t="s">
        <v>1573</v>
      </c>
    </row>
    <row r="3" ht="12.75">
      <c r="B3" s="206" t="s">
        <v>1574</v>
      </c>
    </row>
    <row r="4" ht="12.75">
      <c r="B4" s="206" t="s">
        <v>1575</v>
      </c>
    </row>
    <row r="5" ht="12.75">
      <c r="B5" s="284" t="s">
        <v>1576</v>
      </c>
    </row>
    <row r="6" ht="12.75">
      <c r="B6" s="454" t="s">
        <v>1577</v>
      </c>
    </row>
    <row r="7" ht="12.75">
      <c r="B7" s="284" t="s">
        <v>1578</v>
      </c>
    </row>
    <row r="8" ht="12.75">
      <c r="B8" s="284" t="s">
        <v>1579</v>
      </c>
    </row>
    <row r="9" ht="12.75">
      <c r="B9" s="454" t="s">
        <v>1580</v>
      </c>
    </row>
    <row r="11" spans="2:3" ht="12.75">
      <c r="B11" s="54"/>
      <c r="C11" s="206" t="s">
        <v>1581</v>
      </c>
    </row>
    <row r="12" spans="2:3" ht="12.75">
      <c r="B12" s="54"/>
      <c r="C12" s="284" t="s">
        <v>1582</v>
      </c>
    </row>
    <row r="13" spans="2:3" ht="12.75">
      <c r="B13" s="54"/>
      <c r="C13" s="284" t="s">
        <v>1583</v>
      </c>
    </row>
    <row r="14" spans="1:6" ht="12.75">
      <c r="A14" s="200"/>
      <c r="B14" s="200"/>
      <c r="C14" s="283"/>
      <c r="D14" s="200"/>
      <c r="E14" s="200"/>
      <c r="F14" s="200"/>
    </row>
    <row r="15" spans="1:6" ht="12.75">
      <c r="A15" s="285"/>
      <c r="B15" s="285"/>
      <c r="C15" s="286"/>
      <c r="D15" s="285"/>
      <c r="E15" s="285"/>
      <c r="F15" s="285"/>
    </row>
    <row r="16" spans="1:6" ht="12.75">
      <c r="A16" s="287"/>
      <c r="B16" s="288" t="s">
        <v>1584</v>
      </c>
      <c r="C16" s="287"/>
      <c r="D16" s="287"/>
      <c r="E16" s="287"/>
      <c r="F16" s="284"/>
    </row>
    <row r="17" spans="1:6" ht="12.75">
      <c r="A17" s="287"/>
      <c r="B17" s="561" t="s">
        <v>439</v>
      </c>
      <c r="C17" s="287"/>
      <c r="D17" s="287"/>
      <c r="E17" s="287"/>
      <c r="F17" s="284"/>
    </row>
    <row r="18" spans="1:6" ht="12.75">
      <c r="A18" s="287"/>
      <c r="B18" s="561"/>
      <c r="C18" s="560" t="s">
        <v>440</v>
      </c>
      <c r="D18" s="287"/>
      <c r="E18" s="287"/>
      <c r="F18" s="284"/>
    </row>
    <row r="19" spans="1:6" ht="12.75">
      <c r="A19" s="287"/>
      <c r="B19" s="561" t="s">
        <v>435</v>
      </c>
      <c r="C19" s="287"/>
      <c r="D19" s="287"/>
      <c r="E19" s="287"/>
      <c r="F19" s="284"/>
    </row>
    <row r="20" spans="1:6" ht="12.75">
      <c r="A20" s="287"/>
      <c r="B20" s="561"/>
      <c r="C20" s="560" t="s">
        <v>1613</v>
      </c>
      <c r="D20" s="287"/>
      <c r="E20" s="287"/>
      <c r="F20" s="284"/>
    </row>
    <row r="21" spans="1:6" ht="12.75">
      <c r="A21" s="287"/>
      <c r="B21" s="561"/>
      <c r="C21" s="560" t="s">
        <v>1572</v>
      </c>
      <c r="D21" s="287"/>
      <c r="E21" s="287"/>
      <c r="F21" s="284"/>
    </row>
    <row r="22" spans="1:6" ht="12.75">
      <c r="A22" s="287"/>
      <c r="B22" s="561"/>
      <c r="C22" s="560" t="s">
        <v>1596</v>
      </c>
      <c r="D22" s="287"/>
      <c r="E22" s="287"/>
      <c r="F22" s="284"/>
    </row>
    <row r="23" spans="1:6" ht="12.75">
      <c r="A23" s="287"/>
      <c r="B23" s="561"/>
      <c r="C23" s="560"/>
      <c r="D23" s="560" t="s">
        <v>1597</v>
      </c>
      <c r="E23" s="287"/>
      <c r="F23" s="284"/>
    </row>
    <row r="24" spans="1:6" ht="12.75">
      <c r="A24" s="287"/>
      <c r="B24" s="561"/>
      <c r="C24" s="560" t="s">
        <v>433</v>
      </c>
      <c r="D24" s="560"/>
      <c r="E24" s="287"/>
      <c r="F24" s="284"/>
    </row>
    <row r="25" spans="1:6" ht="12.75">
      <c r="A25" s="287"/>
      <c r="B25" s="561"/>
      <c r="C25" s="560" t="s">
        <v>434</v>
      </c>
      <c r="D25" s="287"/>
      <c r="E25" s="287"/>
      <c r="F25" s="284"/>
    </row>
    <row r="26" spans="1:6" ht="12.75">
      <c r="A26" s="287"/>
      <c r="B26" s="561"/>
      <c r="C26" s="558" t="s">
        <v>1604</v>
      </c>
      <c r="E26" s="287"/>
      <c r="F26" s="284"/>
    </row>
    <row r="27" spans="1:6" ht="12.75">
      <c r="A27" s="287"/>
      <c r="B27" s="561" t="s">
        <v>414</v>
      </c>
      <c r="C27" s="287"/>
      <c r="D27" s="287"/>
      <c r="E27" s="287"/>
      <c r="F27" s="284"/>
    </row>
    <row r="28" spans="1:6" ht="12.75">
      <c r="A28" s="287"/>
      <c r="B28" s="561"/>
      <c r="C28" s="560" t="s">
        <v>415</v>
      </c>
      <c r="D28" s="287"/>
      <c r="E28" s="287"/>
      <c r="F28" s="284"/>
    </row>
    <row r="29" spans="1:6" ht="12.75">
      <c r="A29" s="287"/>
      <c r="B29" s="561" t="s">
        <v>1585</v>
      </c>
      <c r="C29" s="287"/>
      <c r="D29" s="287"/>
      <c r="E29" s="287"/>
      <c r="F29" s="284"/>
    </row>
    <row r="30" spans="1:6" ht="12.75">
      <c r="A30" s="287"/>
      <c r="B30" s="561"/>
      <c r="C30" s="560" t="s">
        <v>1572</v>
      </c>
      <c r="D30" s="287"/>
      <c r="E30" s="287"/>
      <c r="F30" s="284"/>
    </row>
    <row r="31" spans="1:6" ht="12.75">
      <c r="A31" s="287"/>
      <c r="B31" s="561"/>
      <c r="C31" s="560" t="s">
        <v>1586</v>
      </c>
      <c r="D31" s="560"/>
      <c r="E31" s="287"/>
      <c r="F31" s="284"/>
    </row>
    <row r="32" spans="1:6" ht="12.75">
      <c r="A32" s="287"/>
      <c r="B32" s="561"/>
      <c r="C32" s="558"/>
      <c r="D32" s="558" t="s">
        <v>1587</v>
      </c>
      <c r="E32" s="287"/>
      <c r="F32" s="284"/>
    </row>
    <row r="33" spans="1:6" ht="12.75">
      <c r="A33" s="287"/>
      <c r="B33" s="561"/>
      <c r="C33" s="558" t="s">
        <v>1588</v>
      </c>
      <c r="D33" s="558"/>
      <c r="E33" s="287"/>
      <c r="F33" s="284"/>
    </row>
    <row r="34" spans="1:6" ht="12.75">
      <c r="A34" s="287"/>
      <c r="B34" s="561" t="s">
        <v>1589</v>
      </c>
      <c r="C34" s="287"/>
      <c r="D34" s="287"/>
      <c r="E34" s="287"/>
      <c r="F34" s="284"/>
    </row>
    <row r="35" spans="1:6" ht="12.75">
      <c r="A35" s="287"/>
      <c r="B35" s="561"/>
      <c r="C35" s="560" t="s">
        <v>1590</v>
      </c>
      <c r="D35" s="287"/>
      <c r="E35" s="287"/>
      <c r="F35" s="284"/>
    </row>
    <row r="36" spans="1:6" ht="12.75">
      <c r="A36" s="287"/>
      <c r="B36" s="561" t="s">
        <v>1591</v>
      </c>
      <c r="C36" s="287"/>
      <c r="D36" s="287"/>
      <c r="E36" s="287"/>
      <c r="F36" s="284"/>
    </row>
    <row r="37" spans="1:6" ht="12.75">
      <c r="A37" s="287"/>
      <c r="B37" s="561"/>
      <c r="C37" s="560" t="s">
        <v>1592</v>
      </c>
      <c r="D37" s="287"/>
      <c r="E37" s="287"/>
      <c r="F37" s="284"/>
    </row>
    <row r="38" spans="1:6" ht="12.75">
      <c r="A38" s="287"/>
      <c r="B38" s="561" t="s">
        <v>1593</v>
      </c>
      <c r="C38" s="287"/>
      <c r="D38" s="287"/>
      <c r="E38" s="287"/>
      <c r="F38" s="284"/>
    </row>
    <row r="39" spans="1:6" ht="12.75">
      <c r="A39" s="287"/>
      <c r="B39" s="561"/>
      <c r="C39" s="560" t="s">
        <v>1594</v>
      </c>
      <c r="D39" s="287"/>
      <c r="E39" s="287"/>
      <c r="F39" s="284"/>
    </row>
    <row r="40" spans="1:6" ht="12.75">
      <c r="A40" s="287"/>
      <c r="B40" s="561"/>
      <c r="C40" s="560" t="s">
        <v>1595</v>
      </c>
      <c r="D40" s="287"/>
      <c r="E40" s="287"/>
      <c r="F40" s="284"/>
    </row>
    <row r="41" spans="1:6" ht="12.75">
      <c r="A41" s="287"/>
      <c r="B41" s="561" t="s">
        <v>1605</v>
      </c>
      <c r="C41" s="287"/>
      <c r="D41" s="287"/>
      <c r="E41" s="287"/>
      <c r="F41" s="284"/>
    </row>
    <row r="42" spans="1:6" ht="12.75">
      <c r="A42" s="287"/>
      <c r="B42" s="561"/>
      <c r="C42" s="560" t="s">
        <v>1606</v>
      </c>
      <c r="D42" s="287"/>
      <c r="E42" s="287"/>
      <c r="F42" s="284"/>
    </row>
    <row r="43" spans="1:6" ht="12.75">
      <c r="A43" s="287"/>
      <c r="B43" s="561"/>
      <c r="C43" s="558" t="s">
        <v>1607</v>
      </c>
      <c r="D43" s="560"/>
      <c r="E43" s="287"/>
      <c r="F43" s="284"/>
    </row>
    <row r="44" spans="1:6" ht="12.75">
      <c r="A44" s="287"/>
      <c r="B44" s="561"/>
      <c r="C44" s="558"/>
      <c r="D44" s="560" t="s">
        <v>1608</v>
      </c>
      <c r="E44" s="287"/>
      <c r="F44" s="284"/>
    </row>
    <row r="45" spans="1:6" ht="12.75">
      <c r="A45" s="287"/>
      <c r="B45" s="289" t="s">
        <v>1609</v>
      </c>
      <c r="C45" s="287"/>
      <c r="D45" s="287"/>
      <c r="E45" s="287"/>
      <c r="F45" s="284"/>
    </row>
    <row r="46" spans="1:6" ht="12.75">
      <c r="A46" s="287"/>
      <c r="B46" s="289"/>
      <c r="C46" s="560" t="s">
        <v>1610</v>
      </c>
      <c r="D46" s="560"/>
      <c r="E46" s="560"/>
      <c r="F46" s="284"/>
    </row>
    <row r="47" spans="1:6" ht="12.75">
      <c r="A47" s="287"/>
      <c r="B47" s="288"/>
      <c r="C47" s="560" t="s">
        <v>1611</v>
      </c>
      <c r="D47" s="560"/>
      <c r="E47" s="560"/>
      <c r="F47" s="284"/>
    </row>
    <row r="48" spans="1:6" ht="12.75">
      <c r="A48" s="287"/>
      <c r="B48" s="288"/>
      <c r="C48" s="560" t="s">
        <v>1612</v>
      </c>
      <c r="D48" s="560"/>
      <c r="E48" s="560"/>
      <c r="F48" s="284"/>
    </row>
    <row r="49" spans="1:6" ht="12.75">
      <c r="A49" s="453"/>
      <c r="B49" s="289"/>
      <c r="C49" s="558"/>
      <c r="D49" s="558" t="s">
        <v>1614</v>
      </c>
      <c r="E49" s="558"/>
      <c r="F49" s="453"/>
    </row>
    <row r="50" spans="1:6" ht="12.75">
      <c r="A50" s="453"/>
      <c r="B50" s="289" t="s">
        <v>1615</v>
      </c>
      <c r="C50" s="453"/>
      <c r="D50" s="453"/>
      <c r="E50" s="453"/>
      <c r="F50" s="453"/>
    </row>
    <row r="51" spans="1:6" ht="12.75">
      <c r="A51" s="453"/>
      <c r="B51" s="289"/>
      <c r="C51" s="558" t="s">
        <v>1616</v>
      </c>
      <c r="D51" s="453"/>
      <c r="E51" s="453"/>
      <c r="F51" s="453"/>
    </row>
    <row r="52" spans="1:6" ht="12.75">
      <c r="A52" s="453"/>
      <c r="B52" s="453"/>
      <c r="C52" s="454" t="s">
        <v>1617</v>
      </c>
      <c r="D52" s="453"/>
      <c r="E52" s="453"/>
      <c r="F52" s="453"/>
    </row>
    <row r="53" spans="1:6" ht="12.75">
      <c r="A53" s="453"/>
      <c r="B53" s="453"/>
      <c r="C53" s="454" t="s">
        <v>1618</v>
      </c>
      <c r="D53" s="453"/>
      <c r="E53" s="453"/>
      <c r="F53" s="453"/>
    </row>
    <row r="54" spans="1:6" ht="12.75">
      <c r="A54" s="453"/>
      <c r="B54" s="453"/>
      <c r="C54" s="454" t="s">
        <v>1619</v>
      </c>
      <c r="D54" s="453"/>
      <c r="E54" s="453"/>
      <c r="F54" s="453"/>
    </row>
    <row r="55" spans="1:6" ht="12.75">
      <c r="A55" s="453"/>
      <c r="B55" s="453" t="s">
        <v>1620</v>
      </c>
      <c r="C55" s="454" t="s">
        <v>1</v>
      </c>
      <c r="D55" s="453"/>
      <c r="E55" s="453"/>
      <c r="F55" s="453"/>
    </row>
    <row r="56" spans="1:6" ht="12.75">
      <c r="A56" s="453"/>
      <c r="B56" s="453"/>
      <c r="C56" s="454" t="s">
        <v>2</v>
      </c>
      <c r="D56" s="453"/>
      <c r="E56" s="453"/>
      <c r="F56" s="453"/>
    </row>
    <row r="57" spans="1:6" ht="12.75">
      <c r="A57" s="453"/>
      <c r="B57" s="453"/>
      <c r="C57" s="454" t="s">
        <v>3</v>
      </c>
      <c r="D57" s="453"/>
      <c r="E57" s="453"/>
      <c r="F57" s="453"/>
    </row>
    <row r="58" spans="1:6" ht="12.75">
      <c r="A58" s="453"/>
      <c r="B58" s="453"/>
      <c r="C58" s="454" t="s">
        <v>4</v>
      </c>
      <c r="D58" s="453"/>
      <c r="E58" s="453"/>
      <c r="F58" s="453"/>
    </row>
    <row r="59" spans="1:6" ht="12.75">
      <c r="A59" s="453"/>
      <c r="B59" s="453"/>
      <c r="C59" s="454" t="s">
        <v>5</v>
      </c>
      <c r="D59" s="454"/>
      <c r="E59" s="453"/>
      <c r="F59" s="453"/>
    </row>
    <row r="60" spans="1:6" ht="12.75">
      <c r="A60" s="453"/>
      <c r="B60" s="453"/>
      <c r="C60" s="454"/>
      <c r="D60" s="454" t="s">
        <v>6</v>
      </c>
      <c r="E60" s="453"/>
      <c r="F60" s="453"/>
    </row>
    <row r="61" spans="1:6" ht="12.75">
      <c r="A61" s="453"/>
      <c r="B61" s="289" t="s">
        <v>7</v>
      </c>
      <c r="C61" s="453"/>
      <c r="D61" s="453"/>
      <c r="E61" s="453"/>
      <c r="F61" s="453"/>
    </row>
    <row r="62" spans="1:6" ht="12.75">
      <c r="A62" s="453"/>
      <c r="B62" s="453"/>
      <c r="C62" s="454" t="s">
        <v>8</v>
      </c>
      <c r="D62" s="453"/>
      <c r="E62" s="453"/>
      <c r="F62" s="453"/>
    </row>
    <row r="63" spans="1:6" ht="12.75">
      <c r="A63" s="453"/>
      <c r="B63" s="289" t="s">
        <v>9</v>
      </c>
      <c r="C63" s="453"/>
      <c r="D63" s="453"/>
      <c r="E63" s="453"/>
      <c r="F63" s="453"/>
    </row>
    <row r="64" spans="1:6" ht="12.75">
      <c r="A64" s="453"/>
      <c r="B64" s="453"/>
      <c r="C64" s="454" t="s">
        <v>10</v>
      </c>
      <c r="D64" s="453"/>
      <c r="E64" s="453"/>
      <c r="F64" s="453"/>
    </row>
    <row r="65" spans="1:6" ht="12.75">
      <c r="A65" s="287"/>
      <c r="B65" s="289" t="s">
        <v>11</v>
      </c>
      <c r="C65" s="287"/>
      <c r="D65" s="287"/>
      <c r="E65" s="287"/>
      <c r="F65" s="287"/>
    </row>
    <row r="66" spans="1:6" ht="12.75">
      <c r="A66" s="453"/>
      <c r="B66" s="453"/>
      <c r="C66" s="458" t="s">
        <v>12</v>
      </c>
      <c r="D66" s="458"/>
      <c r="E66" s="453"/>
      <c r="F66" s="453"/>
    </row>
    <row r="67" spans="1:6" ht="12.75">
      <c r="A67" s="453"/>
      <c r="B67" s="453"/>
      <c r="C67" s="458"/>
      <c r="D67" s="458" t="s">
        <v>13</v>
      </c>
      <c r="E67" s="453"/>
      <c r="F67" s="453"/>
    </row>
    <row r="68" spans="1:6" ht="12.75">
      <c r="A68" s="453"/>
      <c r="B68" s="453"/>
      <c r="C68" s="458" t="s">
        <v>14</v>
      </c>
      <c r="D68" s="458"/>
      <c r="E68" s="453"/>
      <c r="F68" s="453"/>
    </row>
    <row r="69" spans="1:6" ht="12.75">
      <c r="A69" s="453"/>
      <c r="B69" s="453"/>
      <c r="C69" s="458" t="s">
        <v>15</v>
      </c>
      <c r="D69" s="453"/>
      <c r="E69" s="453"/>
      <c r="F69" s="453"/>
    </row>
    <row r="70" spans="1:6" ht="12.75">
      <c r="A70" s="453"/>
      <c r="B70" s="453"/>
      <c r="C70" s="458" t="s">
        <v>16</v>
      </c>
      <c r="D70" s="453"/>
      <c r="E70" s="453"/>
      <c r="F70" s="453"/>
    </row>
    <row r="71" spans="1:6" ht="12.75">
      <c r="A71" s="287"/>
      <c r="B71" s="289"/>
      <c r="C71" s="284" t="s">
        <v>17</v>
      </c>
      <c r="D71" s="287"/>
      <c r="E71" s="287"/>
      <c r="F71" s="287"/>
    </row>
    <row r="72" spans="1:6" ht="12.75">
      <c r="A72" s="453"/>
      <c r="B72" s="453"/>
      <c r="C72" s="454" t="s">
        <v>18</v>
      </c>
      <c r="D72" s="453"/>
      <c r="E72" s="453"/>
      <c r="F72" s="453"/>
    </row>
    <row r="73" spans="1:6" ht="12.75">
      <c r="A73" s="453"/>
      <c r="B73" s="453"/>
      <c r="C73" s="454" t="s">
        <v>19</v>
      </c>
      <c r="D73" s="453"/>
      <c r="E73" s="453"/>
      <c r="F73" s="453"/>
    </row>
    <row r="74" spans="1:6" ht="12.75">
      <c r="A74" s="287"/>
      <c r="B74" s="289"/>
      <c r="C74" s="284" t="s">
        <v>20</v>
      </c>
      <c r="D74" s="287"/>
      <c r="E74" s="287"/>
      <c r="F74" s="287"/>
    </row>
    <row r="75" spans="1:6" ht="12.75">
      <c r="A75" s="287"/>
      <c r="B75" s="289"/>
      <c r="C75" s="284" t="s">
        <v>21</v>
      </c>
      <c r="D75" s="287"/>
      <c r="E75" s="287"/>
      <c r="F75" s="287"/>
    </row>
    <row r="76" spans="1:6" ht="12.75">
      <c r="A76" s="287"/>
      <c r="B76" s="289"/>
      <c r="C76" s="284" t="s">
        <v>22</v>
      </c>
      <c r="D76" s="287"/>
      <c r="E76" s="287"/>
      <c r="F76" s="287"/>
    </row>
    <row r="77" spans="1:6" ht="12.75">
      <c r="A77" s="287"/>
      <c r="B77" s="289"/>
      <c r="C77" s="284"/>
      <c r="D77" s="284" t="s">
        <v>23</v>
      </c>
      <c r="E77" s="287"/>
      <c r="F77" s="287"/>
    </row>
    <row r="78" spans="1:6" ht="12.75">
      <c r="A78" s="453"/>
      <c r="B78" s="453"/>
      <c r="C78" s="284" t="s">
        <v>24</v>
      </c>
      <c r="D78" s="454"/>
      <c r="E78" s="453"/>
      <c r="F78" s="453"/>
    </row>
    <row r="79" spans="1:6" ht="12.75">
      <c r="A79" s="453"/>
      <c r="B79" s="453"/>
      <c r="C79" s="454" t="s">
        <v>25</v>
      </c>
      <c r="D79" s="453"/>
      <c r="E79" s="453"/>
      <c r="F79" s="453"/>
    </row>
    <row r="80" spans="1:6" ht="12.75">
      <c r="A80" s="287"/>
      <c r="B80" s="289" t="s">
        <v>26</v>
      </c>
      <c r="C80" s="287"/>
      <c r="D80" s="287"/>
      <c r="E80" s="287"/>
      <c r="F80" s="287"/>
    </row>
    <row r="81" spans="1:6" ht="12.75">
      <c r="A81" s="287"/>
      <c r="B81" s="289"/>
      <c r="C81" s="284" t="s">
        <v>27</v>
      </c>
      <c r="D81" s="287"/>
      <c r="E81" s="287"/>
      <c r="F81" s="287"/>
    </row>
    <row r="82" spans="1:6" ht="12.75">
      <c r="A82" s="287"/>
      <c r="B82" s="289"/>
      <c r="C82" s="284" t="s">
        <v>28</v>
      </c>
      <c r="D82" s="287"/>
      <c r="E82" s="287"/>
      <c r="F82" s="287"/>
    </row>
    <row r="83" spans="1:6" ht="12.75">
      <c r="A83" s="287"/>
      <c r="B83" s="289"/>
      <c r="C83" s="284"/>
      <c r="D83" s="284" t="s">
        <v>29</v>
      </c>
      <c r="E83" s="287"/>
      <c r="F83" s="287"/>
    </row>
    <row r="84" spans="1:6" ht="12.75">
      <c r="A84" s="287"/>
      <c r="B84" s="289"/>
      <c r="C84" s="284"/>
      <c r="D84" s="284" t="s">
        <v>30</v>
      </c>
      <c r="E84" s="287"/>
      <c r="F84" s="287"/>
    </row>
    <row r="85" spans="1:6" ht="12.75">
      <c r="A85" s="287"/>
      <c r="B85" s="289"/>
      <c r="C85" s="284" t="s">
        <v>31</v>
      </c>
      <c r="D85" s="287"/>
      <c r="E85" s="287"/>
      <c r="F85" s="287"/>
    </row>
    <row r="86" spans="1:6" ht="12.75">
      <c r="A86" s="287"/>
      <c r="B86" s="289"/>
      <c r="C86" s="284"/>
      <c r="D86" s="284" t="s">
        <v>32</v>
      </c>
      <c r="E86" s="287"/>
      <c r="F86" s="287"/>
    </row>
    <row r="87" spans="1:6" ht="12.75">
      <c r="A87" s="287"/>
      <c r="B87" s="289"/>
      <c r="C87" s="284" t="s">
        <v>33</v>
      </c>
      <c r="D87" s="284"/>
      <c r="E87" s="287"/>
      <c r="F87" s="287"/>
    </row>
    <row r="88" spans="1:6" ht="12.75">
      <c r="A88" s="287"/>
      <c r="B88" s="289"/>
      <c r="C88" s="284"/>
      <c r="D88" s="284" t="s">
        <v>34</v>
      </c>
      <c r="E88" s="287"/>
      <c r="F88" s="287"/>
    </row>
    <row r="89" spans="1:6" ht="12.75">
      <c r="A89" s="287"/>
      <c r="B89" s="289"/>
      <c r="C89" s="284"/>
      <c r="D89" s="284" t="s">
        <v>35</v>
      </c>
      <c r="E89" s="287"/>
      <c r="F89" s="287"/>
    </row>
    <row r="90" spans="1:6" ht="12.75">
      <c r="A90" s="287"/>
      <c r="B90" s="289"/>
      <c r="C90" s="284" t="s">
        <v>36</v>
      </c>
      <c r="D90" s="284"/>
      <c r="E90" s="287"/>
      <c r="F90" s="287"/>
    </row>
    <row r="91" spans="1:6" ht="12.75">
      <c r="A91" s="287"/>
      <c r="B91" s="289"/>
      <c r="C91" s="284" t="s">
        <v>37</v>
      </c>
      <c r="D91" s="284"/>
      <c r="E91" s="287"/>
      <c r="F91" s="287"/>
    </row>
    <row r="92" spans="1:6" ht="12.75">
      <c r="A92" s="287"/>
      <c r="B92" s="289"/>
      <c r="C92" s="284"/>
      <c r="D92" s="284" t="s">
        <v>38</v>
      </c>
      <c r="E92" s="287"/>
      <c r="F92" s="287"/>
    </row>
    <row r="93" spans="1:6" ht="12.75">
      <c r="A93" s="287"/>
      <c r="B93" s="289"/>
      <c r="C93" s="284"/>
      <c r="D93" s="284" t="s">
        <v>39</v>
      </c>
      <c r="E93" s="287"/>
      <c r="F93" s="287"/>
    </row>
    <row r="94" spans="1:6" ht="12.75">
      <c r="A94" s="287"/>
      <c r="B94" s="289"/>
      <c r="C94" s="284" t="s">
        <v>40</v>
      </c>
      <c r="D94" s="284"/>
      <c r="E94" s="287"/>
      <c r="F94" s="287"/>
    </row>
    <row r="95" spans="1:6" ht="12.75">
      <c r="A95" s="287"/>
      <c r="B95" s="289" t="s">
        <v>41</v>
      </c>
      <c r="C95" s="287"/>
      <c r="D95" s="287"/>
      <c r="E95" s="287"/>
      <c r="F95" s="287"/>
    </row>
    <row r="96" spans="1:6" ht="12.75">
      <c r="A96" s="287"/>
      <c r="B96" s="289"/>
      <c r="C96" s="449" t="s">
        <v>42</v>
      </c>
      <c r="D96" s="449"/>
      <c r="E96" s="449"/>
      <c r="F96" s="287"/>
    </row>
    <row r="97" spans="1:6" ht="12.75">
      <c r="A97" s="287"/>
      <c r="B97" s="289"/>
      <c r="C97" s="449"/>
      <c r="D97" s="449" t="s">
        <v>43</v>
      </c>
      <c r="E97" s="449"/>
      <c r="F97" s="287"/>
    </row>
    <row r="98" spans="1:6" ht="12.75">
      <c r="A98" s="287"/>
      <c r="B98" s="289"/>
      <c r="C98" s="286" t="s">
        <v>44</v>
      </c>
      <c r="D98" s="451"/>
      <c r="E98" s="451"/>
      <c r="F98" s="451"/>
    </row>
    <row r="99" spans="1:6" ht="12.75">
      <c r="A99" s="287"/>
      <c r="B99" s="289"/>
      <c r="C99" s="286" t="s">
        <v>45</v>
      </c>
      <c r="D99" s="451"/>
      <c r="E99" s="451"/>
      <c r="F99" s="451"/>
    </row>
    <row r="100" spans="1:6" ht="12.75">
      <c r="A100" s="287"/>
      <c r="B100" s="289"/>
      <c r="C100" s="286" t="s">
        <v>46</v>
      </c>
      <c r="D100" s="451"/>
      <c r="E100" s="451"/>
      <c r="F100" s="451"/>
    </row>
    <row r="101" spans="1:6" ht="12.75">
      <c r="A101" s="287"/>
      <c r="B101" s="288"/>
      <c r="C101" s="284" t="s">
        <v>47</v>
      </c>
      <c r="D101" s="287"/>
      <c r="E101" s="287"/>
      <c r="F101" s="287"/>
    </row>
    <row r="102" spans="1:6" ht="12.75">
      <c r="A102" s="287"/>
      <c r="B102" s="288"/>
      <c r="C102" s="284" t="s">
        <v>48</v>
      </c>
      <c r="D102" s="287"/>
      <c r="E102" s="287"/>
      <c r="F102" s="287"/>
    </row>
    <row r="103" spans="1:6" ht="12.75">
      <c r="A103" s="287"/>
      <c r="B103" s="288"/>
      <c r="C103" s="284" t="s">
        <v>49</v>
      </c>
      <c r="D103" s="287"/>
      <c r="E103" s="287"/>
      <c r="F103" s="287"/>
    </row>
    <row r="104" spans="1:6" ht="12.75">
      <c r="A104" s="287"/>
      <c r="B104" s="288"/>
      <c r="C104" s="284" t="s">
        <v>50</v>
      </c>
      <c r="D104" s="287"/>
      <c r="E104" s="287"/>
      <c r="F104" s="287"/>
    </row>
    <row r="105" spans="1:6" ht="12.75">
      <c r="A105" s="287"/>
      <c r="B105" s="289" t="s">
        <v>51</v>
      </c>
      <c r="C105" s="289"/>
      <c r="D105" s="287"/>
      <c r="E105" s="287"/>
      <c r="F105" s="287"/>
    </row>
    <row r="106" spans="1:6" ht="12.75">
      <c r="A106" s="287"/>
      <c r="B106" s="289"/>
      <c r="C106" s="284" t="s">
        <v>52</v>
      </c>
      <c r="D106" s="287"/>
      <c r="E106" s="287"/>
      <c r="F106" s="287"/>
    </row>
    <row r="107" spans="1:6" ht="12.75">
      <c r="A107" s="287"/>
      <c r="B107" s="289"/>
      <c r="C107" s="284" t="s">
        <v>53</v>
      </c>
      <c r="D107" s="287"/>
      <c r="E107" s="287"/>
      <c r="F107" s="287"/>
    </row>
    <row r="108" spans="1:6" ht="12.75">
      <c r="A108" s="287"/>
      <c r="B108" s="289"/>
      <c r="C108" s="284" t="s">
        <v>54</v>
      </c>
      <c r="D108" s="287"/>
      <c r="E108" s="287"/>
      <c r="F108" s="287"/>
    </row>
    <row r="109" spans="1:6" ht="12.75">
      <c r="A109" s="287"/>
      <c r="B109" s="289"/>
      <c r="C109" s="284" t="s">
        <v>55</v>
      </c>
      <c r="D109" s="287"/>
      <c r="E109" s="287"/>
      <c r="F109" s="287"/>
    </row>
    <row r="110" spans="1:6" ht="12.75">
      <c r="A110" s="287"/>
      <c r="B110" s="289" t="s">
        <v>56</v>
      </c>
      <c r="C110" s="287"/>
      <c r="D110" s="287"/>
      <c r="E110" s="287"/>
      <c r="F110" s="287"/>
    </row>
    <row r="111" spans="1:6" ht="12.75">
      <c r="A111" s="287"/>
      <c r="B111" s="289"/>
      <c r="C111" s="284" t="s">
        <v>57</v>
      </c>
      <c r="D111" s="287"/>
      <c r="E111" s="287"/>
      <c r="F111" s="287"/>
    </row>
    <row r="112" spans="1:6" ht="12.75">
      <c r="A112" s="287"/>
      <c r="B112" s="289"/>
      <c r="C112" s="284" t="s">
        <v>58</v>
      </c>
      <c r="D112" s="287"/>
      <c r="E112" s="287"/>
      <c r="F112" s="287"/>
    </row>
    <row r="113" spans="1:6" ht="12.75">
      <c r="A113" s="287"/>
      <c r="B113" s="289"/>
      <c r="C113" s="284" t="s">
        <v>59</v>
      </c>
      <c r="D113" s="287"/>
      <c r="E113" s="287"/>
      <c r="F113" s="287"/>
    </row>
    <row r="114" spans="1:6" ht="12.75">
      <c r="A114" s="287"/>
      <c r="B114" s="289"/>
      <c r="C114" s="284" t="s">
        <v>60</v>
      </c>
      <c r="D114" s="287"/>
      <c r="E114" s="287"/>
      <c r="F114" s="287"/>
    </row>
    <row r="115" spans="1:6" ht="12.75">
      <c r="A115" s="287"/>
      <c r="B115" s="289"/>
      <c r="C115" s="284" t="s">
        <v>61</v>
      </c>
      <c r="D115" s="287"/>
      <c r="E115" s="287"/>
      <c r="F115" s="287"/>
    </row>
    <row r="116" spans="1:6" ht="12.75">
      <c r="A116" s="287"/>
      <c r="B116" s="289"/>
      <c r="C116" s="284" t="s">
        <v>62</v>
      </c>
      <c r="D116" s="287"/>
      <c r="E116" s="287"/>
      <c r="F116" s="287"/>
    </row>
    <row r="117" spans="1:6" ht="12.75">
      <c r="A117" s="287"/>
      <c r="B117" s="289"/>
      <c r="C117" s="284" t="s">
        <v>63</v>
      </c>
      <c r="D117" s="287"/>
      <c r="E117" s="287"/>
      <c r="F117" s="287"/>
    </row>
    <row r="118" spans="1:6" ht="12.75">
      <c r="A118" s="287"/>
      <c r="B118" s="289"/>
      <c r="C118" s="284" t="s">
        <v>64</v>
      </c>
      <c r="D118" s="287"/>
      <c r="E118" s="287"/>
      <c r="F118" s="287"/>
    </row>
    <row r="119" spans="1:6" ht="12.75">
      <c r="A119" s="287"/>
      <c r="B119" s="288"/>
      <c r="C119" s="284" t="s">
        <v>65</v>
      </c>
      <c r="D119" s="287"/>
      <c r="E119" s="287"/>
      <c r="F119" s="287"/>
    </row>
    <row r="120" spans="1:6" ht="12.75">
      <c r="A120" s="287"/>
      <c r="B120" s="289" t="s">
        <v>66</v>
      </c>
      <c r="C120" s="287"/>
      <c r="D120" s="287"/>
      <c r="E120" s="287"/>
      <c r="F120" s="287"/>
    </row>
    <row r="121" spans="1:6" ht="12.75">
      <c r="A121" s="287"/>
      <c r="B121" s="288"/>
      <c r="C121" s="284" t="s">
        <v>67</v>
      </c>
      <c r="D121" s="287"/>
      <c r="E121" s="287"/>
      <c r="F121" s="287"/>
    </row>
    <row r="122" spans="1:6" ht="12.75">
      <c r="A122" s="287"/>
      <c r="B122" s="288"/>
      <c r="C122" s="284" t="s">
        <v>68</v>
      </c>
      <c r="D122" s="287"/>
      <c r="E122" s="287"/>
      <c r="F122" s="287"/>
    </row>
    <row r="123" spans="1:6" ht="12.75">
      <c r="A123" s="287"/>
      <c r="B123" s="288"/>
      <c r="C123" s="284" t="s">
        <v>69</v>
      </c>
      <c r="D123" s="287"/>
      <c r="E123" s="287"/>
      <c r="F123" s="287"/>
    </row>
    <row r="124" spans="1:6" ht="12.75">
      <c r="A124" s="287"/>
      <c r="B124" s="289" t="s">
        <v>70</v>
      </c>
      <c r="C124" s="287"/>
      <c r="D124" s="287"/>
      <c r="E124" s="287"/>
      <c r="F124" s="287"/>
    </row>
    <row r="125" spans="1:6" ht="12.75">
      <c r="A125" s="287"/>
      <c r="B125" s="289"/>
      <c r="C125" s="284" t="s">
        <v>71</v>
      </c>
      <c r="D125" s="287"/>
      <c r="E125" s="287"/>
      <c r="F125" s="287"/>
    </row>
    <row r="126" spans="1:6" ht="12.75">
      <c r="A126" s="287"/>
      <c r="B126" s="288"/>
      <c r="C126" s="284" t="s">
        <v>72</v>
      </c>
      <c r="D126" s="287"/>
      <c r="E126" s="287"/>
      <c r="F126" s="287"/>
    </row>
    <row r="127" spans="1:6" ht="12.75">
      <c r="A127" s="287"/>
      <c r="B127" s="288"/>
      <c r="C127" s="284" t="s">
        <v>73</v>
      </c>
      <c r="D127" s="287"/>
      <c r="E127" s="287"/>
      <c r="F127" s="287"/>
    </row>
    <row r="128" spans="1:6" ht="12.75">
      <c r="A128" s="287"/>
      <c r="B128" s="288"/>
      <c r="C128" s="284" t="s">
        <v>74</v>
      </c>
      <c r="D128" s="287"/>
      <c r="E128" s="287"/>
      <c r="F128" s="287"/>
    </row>
    <row r="129" spans="1:6" ht="12.75">
      <c r="A129" s="287"/>
      <c r="B129" s="288"/>
      <c r="C129" s="284" t="s">
        <v>75</v>
      </c>
      <c r="D129" s="287"/>
      <c r="E129" s="287"/>
      <c r="F129" s="287"/>
    </row>
    <row r="130" spans="1:6" ht="12.75">
      <c r="A130" s="287"/>
      <c r="B130" s="288"/>
      <c r="C130" s="284" t="s">
        <v>76</v>
      </c>
      <c r="D130" s="287"/>
      <c r="E130" s="287"/>
      <c r="F130" s="287"/>
    </row>
    <row r="131" spans="1:6" ht="12.75">
      <c r="A131" s="198"/>
      <c r="B131" s="290" t="s">
        <v>77</v>
      </c>
      <c r="C131" s="277"/>
      <c r="D131" s="198"/>
      <c r="E131" s="198"/>
      <c r="F131" s="198"/>
    </row>
    <row r="132" spans="1:6" ht="12.75">
      <c r="A132" s="198"/>
      <c r="B132" s="277"/>
      <c r="C132" s="277" t="s">
        <v>78</v>
      </c>
      <c r="D132" s="198"/>
      <c r="E132" s="198"/>
      <c r="F132" s="198"/>
    </row>
    <row r="133" spans="1:6" ht="12.75">
      <c r="A133" s="198"/>
      <c r="B133" s="277"/>
      <c r="C133" s="277" t="s">
        <v>79</v>
      </c>
      <c r="D133" s="198"/>
      <c r="E133" s="198"/>
      <c r="F133" s="198"/>
    </row>
    <row r="134" spans="1:6" ht="12.75">
      <c r="A134" s="198"/>
      <c r="B134" s="277"/>
      <c r="C134" s="277" t="s">
        <v>80</v>
      </c>
      <c r="D134" s="198"/>
      <c r="E134" s="198"/>
      <c r="F134" s="198"/>
    </row>
    <row r="135" spans="1:6" ht="12.75">
      <c r="A135" s="198"/>
      <c r="B135" s="277"/>
      <c r="C135" s="277" t="s">
        <v>81</v>
      </c>
      <c r="D135" s="198"/>
      <c r="E135" s="198"/>
      <c r="F135" s="198"/>
    </row>
    <row r="136" spans="1:6" ht="12.75">
      <c r="A136" s="198"/>
      <c r="B136" s="277"/>
      <c r="C136" s="277" t="s">
        <v>82</v>
      </c>
      <c r="D136" s="198"/>
      <c r="E136" s="198"/>
      <c r="F136" s="198"/>
    </row>
    <row r="137" spans="1:6" ht="12.75">
      <c r="A137" s="198"/>
      <c r="B137" s="290" t="s">
        <v>83</v>
      </c>
      <c r="C137" s="277"/>
      <c r="D137" s="277"/>
      <c r="E137" s="277"/>
      <c r="F137" s="198"/>
    </row>
    <row r="138" spans="1:6" ht="12.75">
      <c r="A138" s="198"/>
      <c r="B138" s="277"/>
      <c r="C138" s="277" t="s">
        <v>84</v>
      </c>
      <c r="D138" s="277"/>
      <c r="E138" s="277"/>
      <c r="F138" s="198"/>
    </row>
    <row r="139" spans="1:6" ht="12.75">
      <c r="A139" s="198"/>
      <c r="B139" s="277"/>
      <c r="C139" s="277" t="s">
        <v>85</v>
      </c>
      <c r="D139" s="277"/>
      <c r="E139" s="277"/>
      <c r="F139" s="198"/>
    </row>
    <row r="140" spans="1:6" ht="12.75">
      <c r="A140" s="198"/>
      <c r="B140" s="277"/>
      <c r="C140" s="277" t="s">
        <v>86</v>
      </c>
      <c r="D140" s="277"/>
      <c r="E140" s="277"/>
      <c r="F140" s="198"/>
    </row>
    <row r="141" spans="1:6" ht="12.75">
      <c r="A141" s="198"/>
      <c r="B141" s="277"/>
      <c r="C141" s="277" t="s">
        <v>87</v>
      </c>
      <c r="D141" s="277"/>
      <c r="E141" s="277"/>
      <c r="F141" s="198"/>
    </row>
    <row r="142" spans="1:6" ht="12.75">
      <c r="A142" s="198"/>
      <c r="B142" s="277"/>
      <c r="C142" s="277" t="s">
        <v>88</v>
      </c>
      <c r="D142" s="277"/>
      <c r="E142" s="277"/>
      <c r="F142" s="198"/>
    </row>
    <row r="143" spans="1:6" ht="12.75">
      <c r="A143" s="198"/>
      <c r="B143" s="198"/>
      <c r="C143" s="277" t="s">
        <v>89</v>
      </c>
      <c r="D143" s="198"/>
      <c r="E143" s="198"/>
      <c r="F143" s="198"/>
    </row>
    <row r="144" spans="1:6" ht="12.75">
      <c r="A144" s="198"/>
      <c r="B144" s="198"/>
      <c r="C144" s="277" t="s">
        <v>90</v>
      </c>
      <c r="D144" s="198"/>
      <c r="E144" s="198"/>
      <c r="F144" s="198"/>
    </row>
    <row r="145" spans="1:6" ht="12.75">
      <c r="A145" s="198"/>
      <c r="B145" s="198"/>
      <c r="C145" s="277" t="s">
        <v>91</v>
      </c>
      <c r="D145" s="198"/>
      <c r="E145" s="198"/>
      <c r="F145" s="198"/>
    </row>
    <row r="146" spans="1:6" ht="12.75">
      <c r="A146" s="198"/>
      <c r="B146" s="198"/>
      <c r="C146" s="277" t="s">
        <v>92</v>
      </c>
      <c r="D146" s="198"/>
      <c r="E146" s="198"/>
      <c r="F146" s="198"/>
    </row>
    <row r="147" spans="1:6" ht="12.75">
      <c r="A147" s="198"/>
      <c r="B147" s="289" t="s">
        <v>93</v>
      </c>
      <c r="C147" s="198"/>
      <c r="D147" s="198"/>
      <c r="E147" s="198"/>
      <c r="F147" s="198"/>
    </row>
    <row r="148" spans="1:6" ht="12.75">
      <c r="A148" s="198"/>
      <c r="B148" s="277"/>
      <c r="C148" s="3" t="s">
        <v>94</v>
      </c>
      <c r="D148" s="198"/>
      <c r="E148" s="198"/>
      <c r="F148" s="198"/>
    </row>
    <row r="149" spans="1:6" ht="12.75">
      <c r="A149" s="198"/>
      <c r="B149" s="277"/>
      <c r="C149" s="3" t="s">
        <v>95</v>
      </c>
      <c r="D149" s="198"/>
      <c r="E149" s="198"/>
      <c r="F149" s="198"/>
    </row>
    <row r="150" ht="12.75">
      <c r="B150" s="289" t="s">
        <v>96</v>
      </c>
    </row>
    <row r="151" spans="2:3" ht="12.75">
      <c r="B151" s="206"/>
      <c r="C151" s="284" t="s">
        <v>97</v>
      </c>
    </row>
    <row r="152" spans="2:3" ht="12.75">
      <c r="B152" s="206"/>
      <c r="C152" s="206" t="s">
        <v>98</v>
      </c>
    </row>
    <row r="153" spans="1:6" ht="12.75">
      <c r="A153" s="218"/>
      <c r="B153" s="218"/>
      <c r="C153" s="218"/>
      <c r="D153" s="218"/>
      <c r="E153" s="218"/>
      <c r="F153" s="218"/>
    </row>
    <row r="155" ht="12.75">
      <c r="B155" s="219" t="s">
        <v>99</v>
      </c>
    </row>
    <row r="156" ht="12.75">
      <c r="C156" s="275" t="s">
        <v>100</v>
      </c>
    </row>
    <row r="158" ht="12.75">
      <c r="B158" s="275" t="s">
        <v>0</v>
      </c>
    </row>
    <row r="159" ht="12.75">
      <c r="B159" s="88" t="s">
        <v>101</v>
      </c>
    </row>
    <row r="160" ht="12.75">
      <c r="B160" s="88" t="s">
        <v>102</v>
      </c>
    </row>
    <row r="161" ht="12.75">
      <c r="C161" s="88" t="s">
        <v>103</v>
      </c>
    </row>
    <row r="162" ht="12.75">
      <c r="C162" s="88" t="s">
        <v>104</v>
      </c>
    </row>
    <row r="163" ht="12.75">
      <c r="C163" s="88" t="s">
        <v>105</v>
      </c>
    </row>
    <row r="164" ht="12.75">
      <c r="C164" s="88" t="s">
        <v>106</v>
      </c>
    </row>
    <row r="165" ht="12.75">
      <c r="C165" s="88" t="s">
        <v>107</v>
      </c>
    </row>
    <row r="166" ht="12.75">
      <c r="C166" s="275" t="s">
        <v>108</v>
      </c>
    </row>
    <row r="168" ht="12.75">
      <c r="B168" s="88" t="s">
        <v>109</v>
      </c>
    </row>
    <row r="169" ht="12.75">
      <c r="B169" s="88" t="s">
        <v>110</v>
      </c>
    </row>
    <row r="171" ht="12.75">
      <c r="B171" s="88" t="s">
        <v>111</v>
      </c>
    </row>
    <row r="172" ht="12.75">
      <c r="B172" s="88" t="s">
        <v>112</v>
      </c>
    </row>
    <row r="173" ht="12.75">
      <c r="B173" s="88" t="s">
        <v>113</v>
      </c>
    </row>
    <row r="174" ht="12.75">
      <c r="B174" s="88" t="s">
        <v>114</v>
      </c>
    </row>
    <row r="176" ht="12.75">
      <c r="B176" s="88" t="s">
        <v>115</v>
      </c>
    </row>
    <row r="177" ht="12.75">
      <c r="B177" s="88" t="s">
        <v>116</v>
      </c>
    </row>
    <row r="178" spans="1:7" ht="12.75">
      <c r="A178" s="218"/>
      <c r="B178" s="218"/>
      <c r="C178" s="218"/>
      <c r="D178" s="218"/>
      <c r="E178" s="218"/>
      <c r="F178" s="218"/>
      <c r="G178" s="218"/>
    </row>
    <row r="180" ht="12.75">
      <c r="B180" s="219" t="s">
        <v>117</v>
      </c>
    </row>
    <row r="182" ht="12.75">
      <c r="B182" s="88" t="s">
        <v>118</v>
      </c>
    </row>
    <row r="183" ht="12.75">
      <c r="C183" s="88" t="s">
        <v>119</v>
      </c>
    </row>
    <row r="184" ht="12.75">
      <c r="C184" s="88" t="s">
        <v>120</v>
      </c>
    </row>
    <row r="185" ht="12.75">
      <c r="C185" s="88" t="s">
        <v>121</v>
      </c>
    </row>
    <row r="186" ht="12.75">
      <c r="C186" s="275" t="s">
        <v>122</v>
      </c>
    </row>
    <row r="187" ht="12.75">
      <c r="C187" s="275" t="s">
        <v>123</v>
      </c>
    </row>
    <row r="188" ht="12.75">
      <c r="C188" s="88" t="s">
        <v>124</v>
      </c>
    </row>
    <row r="189" ht="12.75">
      <c r="C189" s="275" t="s">
        <v>125</v>
      </c>
    </row>
    <row r="190" ht="12.75">
      <c r="C190" s="275" t="s">
        <v>126</v>
      </c>
    </row>
    <row r="191" ht="12.75">
      <c r="C191" s="275" t="s">
        <v>127</v>
      </c>
    </row>
    <row r="192" ht="12.75">
      <c r="C192" s="275" t="s">
        <v>128</v>
      </c>
    </row>
    <row r="193" ht="12.75">
      <c r="C193" s="88" t="s">
        <v>129</v>
      </c>
    </row>
    <row r="194" ht="12.75">
      <c r="E194" s="88" t="s">
        <v>130</v>
      </c>
    </row>
    <row r="196" ht="12.75">
      <c r="B196" s="275" t="s">
        <v>131</v>
      </c>
    </row>
    <row r="197" ht="12.75">
      <c r="C197" s="275" t="s">
        <v>132</v>
      </c>
    </row>
    <row r="198" spans="1:6" ht="12.75">
      <c r="A198" s="218"/>
      <c r="B198" s="413"/>
      <c r="C198" s="218"/>
      <c r="D198" s="218"/>
      <c r="E198" s="218"/>
      <c r="F198" s="218"/>
    </row>
    <row r="200" ht="12.75">
      <c r="B200" s="219" t="s">
        <v>133</v>
      </c>
    </row>
    <row r="202" ht="12.75">
      <c r="B202" s="88" t="s">
        <v>134</v>
      </c>
    </row>
    <row r="203" ht="12.75">
      <c r="B203" s="88" t="s">
        <v>135</v>
      </c>
    </row>
    <row r="205" ht="12.75">
      <c r="B205" s="88" t="s">
        <v>136</v>
      </c>
    </row>
    <row r="206" ht="12.75">
      <c r="C206" s="88" t="s">
        <v>137</v>
      </c>
    </row>
    <row r="207" ht="12.75">
      <c r="C207" s="88" t="s">
        <v>138</v>
      </c>
    </row>
    <row r="208" ht="12.75">
      <c r="C208" s="88" t="s">
        <v>139</v>
      </c>
    </row>
    <row r="209" ht="12.75">
      <c r="C209" s="88" t="s">
        <v>140</v>
      </c>
    </row>
    <row r="210" ht="12.75">
      <c r="C210" s="88" t="s">
        <v>141</v>
      </c>
    </row>
    <row r="211" ht="12.75">
      <c r="E211" s="88" t="s">
        <v>142</v>
      </c>
    </row>
    <row r="212" ht="12.75">
      <c r="C212" s="88" t="s">
        <v>143</v>
      </c>
    </row>
    <row r="213" ht="12.75">
      <c r="E213" s="88" t="s">
        <v>144</v>
      </c>
    </row>
    <row r="214" ht="12.75">
      <c r="E214" s="88" t="s">
        <v>145</v>
      </c>
    </row>
    <row r="215" ht="12.75">
      <c r="C215" s="88" t="s">
        <v>146</v>
      </c>
    </row>
    <row r="216" ht="12.75">
      <c r="D216" s="88" t="s">
        <v>147</v>
      </c>
    </row>
    <row r="217" ht="12.75">
      <c r="D217" s="88" t="s">
        <v>148</v>
      </c>
    </row>
    <row r="218" ht="12.75">
      <c r="C218" s="88" t="s">
        <v>149</v>
      </c>
    </row>
    <row r="219" ht="12.75">
      <c r="E219" s="88" t="s">
        <v>150</v>
      </c>
    </row>
    <row r="220" ht="12.75">
      <c r="C220" s="88" t="s">
        <v>151</v>
      </c>
    </row>
    <row r="221" ht="12.75">
      <c r="E221" s="88" t="s">
        <v>152</v>
      </c>
    </row>
    <row r="222" ht="12.75">
      <c r="C222" s="88" t="s">
        <v>153</v>
      </c>
    </row>
    <row r="223" ht="12.75">
      <c r="E223" s="88" t="s">
        <v>154</v>
      </c>
    </row>
    <row r="224" ht="12.75">
      <c r="E224" s="88" t="s">
        <v>155</v>
      </c>
    </row>
    <row r="225" ht="12.75">
      <c r="C225" s="275" t="s">
        <v>156</v>
      </c>
    </row>
    <row r="226" spans="3:5" ht="12.75">
      <c r="C226" s="275"/>
      <c r="E226" s="275" t="s">
        <v>157</v>
      </c>
    </row>
    <row r="227" spans="3:5" ht="12.75">
      <c r="C227" s="275"/>
      <c r="E227" s="275" t="s">
        <v>158</v>
      </c>
    </row>
    <row r="228" spans="3:5" ht="12.75">
      <c r="C228" s="275"/>
      <c r="E228" s="275" t="s">
        <v>159</v>
      </c>
    </row>
    <row r="229" spans="3:5" ht="12.75">
      <c r="C229" s="275"/>
      <c r="E229" s="275" t="s">
        <v>160</v>
      </c>
    </row>
    <row r="230" ht="12.75">
      <c r="C230" s="88" t="s">
        <v>161</v>
      </c>
    </row>
    <row r="231" ht="12.75">
      <c r="D231" s="275" t="s">
        <v>162</v>
      </c>
    </row>
    <row r="233" ht="12.75">
      <c r="B233" s="88" t="s">
        <v>163</v>
      </c>
    </row>
    <row r="234" ht="12.75">
      <c r="C234" s="88" t="s">
        <v>164</v>
      </c>
    </row>
    <row r="235" ht="12.75">
      <c r="C235" s="88" t="s">
        <v>165</v>
      </c>
    </row>
    <row r="236" ht="12.75">
      <c r="C236" s="275" t="s">
        <v>166</v>
      </c>
    </row>
    <row r="237" ht="12.75">
      <c r="E237" s="275" t="s">
        <v>167</v>
      </c>
    </row>
    <row r="238" ht="12.75">
      <c r="E238" s="88" t="s">
        <v>168</v>
      </c>
    </row>
    <row r="239" ht="12.75">
      <c r="E239" s="88" t="s">
        <v>169</v>
      </c>
    </row>
    <row r="241" ht="12.75">
      <c r="B241" s="275" t="s">
        <v>170</v>
      </c>
    </row>
    <row r="242" ht="12.75">
      <c r="C242" s="275" t="s">
        <v>171</v>
      </c>
    </row>
    <row r="243" ht="12.75">
      <c r="D243" s="275" t="s">
        <v>172</v>
      </c>
    </row>
    <row r="244" ht="12.75">
      <c r="D244" s="275" t="s">
        <v>173</v>
      </c>
    </row>
    <row r="245" ht="12.75">
      <c r="D245" s="275" t="s">
        <v>174</v>
      </c>
    </row>
    <row r="246" spans="4:5" ht="12.75">
      <c r="D246" s="275"/>
      <c r="E246" s="275" t="s">
        <v>175</v>
      </c>
    </row>
    <row r="247" ht="12.75">
      <c r="D247" s="275"/>
    </row>
    <row r="248" ht="12.75">
      <c r="B248" s="88" t="s">
        <v>176</v>
      </c>
    </row>
    <row r="249" ht="12.75">
      <c r="C249" s="88" t="s">
        <v>177</v>
      </c>
    </row>
    <row r="250" ht="12.75">
      <c r="E250" s="88" t="s">
        <v>178</v>
      </c>
    </row>
    <row r="251" ht="12.75">
      <c r="C251" s="88" t="s">
        <v>179</v>
      </c>
    </row>
    <row r="252" ht="12.75">
      <c r="D252" s="88" t="s">
        <v>180</v>
      </c>
    </row>
    <row r="253" ht="12.75">
      <c r="D253" s="88" t="s">
        <v>181</v>
      </c>
    </row>
    <row r="254" ht="12.75">
      <c r="D254" s="88" t="s">
        <v>182</v>
      </c>
    </row>
    <row r="255" ht="12.75">
      <c r="D255" s="88" t="s">
        <v>183</v>
      </c>
    </row>
    <row r="256" ht="12.75">
      <c r="D256" s="88" t="s">
        <v>184</v>
      </c>
    </row>
    <row r="257" ht="12.75">
      <c r="D257" s="88" t="s">
        <v>185</v>
      </c>
    </row>
    <row r="258" ht="12.75">
      <c r="D258" s="88" t="s">
        <v>186</v>
      </c>
    </row>
    <row r="259" ht="12.75">
      <c r="C259" s="88" t="s">
        <v>187</v>
      </c>
    </row>
    <row r="260" ht="12.75">
      <c r="D260" s="88" t="s">
        <v>188</v>
      </c>
    </row>
    <row r="261" ht="12.75">
      <c r="D261" s="88" t="s">
        <v>180</v>
      </c>
    </row>
    <row r="262" ht="12.75">
      <c r="D262" s="275" t="s">
        <v>183</v>
      </c>
    </row>
    <row r="263" ht="12.75">
      <c r="E263" s="88" t="s">
        <v>189</v>
      </c>
    </row>
    <row r="264" ht="12.75">
      <c r="E264" s="88" t="s">
        <v>190</v>
      </c>
    </row>
    <row r="266" ht="12.75">
      <c r="B266" s="88" t="s">
        <v>191</v>
      </c>
    </row>
    <row r="267" spans="3:6" ht="12.75">
      <c r="C267" s="450" t="s">
        <v>192</v>
      </c>
      <c r="D267" s="450"/>
      <c r="E267" s="450"/>
      <c r="F267" s="448"/>
    </row>
    <row r="268" spans="3:6" ht="12.75">
      <c r="C268" s="450"/>
      <c r="D268" s="450" t="s">
        <v>193</v>
      </c>
      <c r="E268" s="450"/>
      <c r="F268" s="448"/>
    </row>
    <row r="269" spans="3:6" ht="12.75">
      <c r="C269" s="450"/>
      <c r="D269" s="450" t="s">
        <v>194</v>
      </c>
      <c r="E269" s="450"/>
      <c r="F269" s="448"/>
    </row>
    <row r="270" spans="3:6" ht="12.75">
      <c r="C270" s="450"/>
      <c r="D270" s="450" t="s">
        <v>195</v>
      </c>
      <c r="E270" s="450"/>
      <c r="F270" s="448"/>
    </row>
    <row r="271" spans="3:6" ht="12.75">
      <c r="C271" s="450"/>
      <c r="D271" s="450" t="s">
        <v>196</v>
      </c>
      <c r="E271" s="450"/>
      <c r="F271" s="448"/>
    </row>
    <row r="272" ht="12.75">
      <c r="C272" s="88" t="s">
        <v>197</v>
      </c>
    </row>
    <row r="273" ht="12.75">
      <c r="D273" s="88" t="s">
        <v>198</v>
      </c>
    </row>
    <row r="274" ht="12.75">
      <c r="D274" s="88" t="s">
        <v>199</v>
      </c>
    </row>
    <row r="275" ht="12.75">
      <c r="D275" s="88" t="s">
        <v>200</v>
      </c>
    </row>
    <row r="276" ht="12.75">
      <c r="D276" s="88" t="s">
        <v>201</v>
      </c>
    </row>
    <row r="277" ht="12.75">
      <c r="D277" s="88" t="s">
        <v>202</v>
      </c>
    </row>
    <row r="278" ht="12.75">
      <c r="D278" s="275" t="s">
        <v>203</v>
      </c>
    </row>
    <row r="279" ht="12.75">
      <c r="D279" s="275" t="s">
        <v>204</v>
      </c>
    </row>
    <row r="280" ht="12.75">
      <c r="C280" s="275" t="s">
        <v>205</v>
      </c>
    </row>
    <row r="281" ht="12.75">
      <c r="C281" s="275" t="s">
        <v>206</v>
      </c>
    </row>
    <row r="282" ht="12.75">
      <c r="D282" s="88" t="s">
        <v>207</v>
      </c>
    </row>
    <row r="283" ht="12.75">
      <c r="C283" s="88" t="s">
        <v>208</v>
      </c>
    </row>
    <row r="284" ht="12.75">
      <c r="C284" s="88" t="s">
        <v>209</v>
      </c>
    </row>
    <row r="285" ht="12.75">
      <c r="D285" s="88" t="s">
        <v>210</v>
      </c>
    </row>
    <row r="286" ht="12.75">
      <c r="C286" s="88" t="s">
        <v>211</v>
      </c>
    </row>
    <row r="287" ht="12.75">
      <c r="D287" s="88" t="s">
        <v>212</v>
      </c>
    </row>
    <row r="288" ht="12.75">
      <c r="D288" s="88" t="s">
        <v>213</v>
      </c>
    </row>
    <row r="289" ht="12.75">
      <c r="C289" s="275" t="s">
        <v>214</v>
      </c>
    </row>
    <row r="290" ht="12.75">
      <c r="C290" s="275"/>
    </row>
    <row r="291" ht="12.75">
      <c r="B291" s="88" t="s">
        <v>215</v>
      </c>
    </row>
    <row r="292" ht="12.75">
      <c r="C292" s="275" t="s">
        <v>216</v>
      </c>
    </row>
    <row r="293" ht="12.75">
      <c r="D293" s="275" t="s">
        <v>217</v>
      </c>
    </row>
    <row r="294" ht="12.75">
      <c r="D294" s="275" t="s">
        <v>218</v>
      </c>
    </row>
    <row r="295" ht="12.75">
      <c r="C295" s="88" t="s">
        <v>219</v>
      </c>
    </row>
    <row r="296" ht="12.75">
      <c r="D296" s="88" t="s">
        <v>220</v>
      </c>
    </row>
    <row r="298" ht="12.75">
      <c r="B298" s="88" t="s">
        <v>221</v>
      </c>
    </row>
    <row r="299" ht="12.75">
      <c r="C299" s="275" t="s">
        <v>222</v>
      </c>
    </row>
    <row r="300" ht="12.75">
      <c r="D300" s="88" t="s">
        <v>223</v>
      </c>
    </row>
    <row r="301" ht="12.75">
      <c r="C301" s="88" t="s">
        <v>224</v>
      </c>
    </row>
    <row r="302" ht="12.75">
      <c r="D302" s="88" t="s">
        <v>225</v>
      </c>
    </row>
    <row r="303" ht="12.75">
      <c r="D303" s="88" t="s">
        <v>226</v>
      </c>
    </row>
    <row r="304" ht="12.75">
      <c r="C304" s="88" t="s">
        <v>227</v>
      </c>
    </row>
    <row r="305" ht="12.75">
      <c r="C305" s="88" t="s">
        <v>228</v>
      </c>
    </row>
    <row r="306" ht="12.75">
      <c r="D306" s="88" t="s">
        <v>229</v>
      </c>
    </row>
    <row r="307" ht="12.75">
      <c r="D307" s="88" t="s">
        <v>230</v>
      </c>
    </row>
    <row r="308" spans="1:7" ht="12.75">
      <c r="A308" s="453"/>
      <c r="B308" s="453"/>
      <c r="C308" s="453"/>
      <c r="D308" s="453" t="s">
        <v>231</v>
      </c>
      <c r="E308" s="453"/>
      <c r="F308" s="453"/>
      <c r="G308" s="453"/>
    </row>
    <row r="309" ht="12.75">
      <c r="C309" s="88" t="s">
        <v>232</v>
      </c>
    </row>
    <row r="310" ht="12.75">
      <c r="C310" s="275" t="s">
        <v>233</v>
      </c>
    </row>
    <row r="311" ht="12.75">
      <c r="D311" s="88" t="s">
        <v>234</v>
      </c>
    </row>
    <row r="312" spans="1:7" ht="12.75">
      <c r="A312" s="453"/>
      <c r="B312" s="453"/>
      <c r="C312" s="453"/>
      <c r="D312" s="453" t="s">
        <v>235</v>
      </c>
      <c r="E312" s="453"/>
      <c r="F312" s="453"/>
      <c r="G312" s="453"/>
    </row>
    <row r="313" ht="12.75">
      <c r="C313" s="88" t="s">
        <v>236</v>
      </c>
    </row>
    <row r="314" ht="12.75">
      <c r="D314" s="275" t="s">
        <v>237</v>
      </c>
    </row>
    <row r="315" ht="12.75">
      <c r="D315" s="88" t="s">
        <v>238</v>
      </c>
    </row>
    <row r="316" ht="12.75">
      <c r="C316" s="275" t="s">
        <v>239</v>
      </c>
    </row>
    <row r="317" ht="12.75">
      <c r="C317" s="275"/>
    </row>
    <row r="318" ht="12.75">
      <c r="B318" s="275" t="s">
        <v>240</v>
      </c>
    </row>
    <row r="319" ht="12.75">
      <c r="C319" s="275" t="s">
        <v>241</v>
      </c>
    </row>
    <row r="320" ht="12.75">
      <c r="D320" s="275" t="s">
        <v>242</v>
      </c>
    </row>
    <row r="321" ht="12.75">
      <c r="D321" s="275" t="s">
        <v>243</v>
      </c>
    </row>
    <row r="322" ht="12.75">
      <c r="C322" s="88" t="s">
        <v>244</v>
      </c>
    </row>
    <row r="323" ht="12.75">
      <c r="C323" s="88" t="s">
        <v>245</v>
      </c>
    </row>
    <row r="324" ht="12.75">
      <c r="C324" s="275" t="s">
        <v>246</v>
      </c>
    </row>
    <row r="325" ht="12.75">
      <c r="C325" s="275"/>
    </row>
    <row r="326" spans="2:3" ht="12.75">
      <c r="B326" s="275" t="s">
        <v>247</v>
      </c>
      <c r="C326" s="275"/>
    </row>
    <row r="327" ht="12.75">
      <c r="C327" s="275" t="s">
        <v>248</v>
      </c>
    </row>
    <row r="328" ht="12.75">
      <c r="D328" s="88" t="s">
        <v>249</v>
      </c>
    </row>
    <row r="329" ht="12.75">
      <c r="C329" s="88" t="s">
        <v>250</v>
      </c>
    </row>
    <row r="330" ht="12.75">
      <c r="C330" s="275" t="s">
        <v>251</v>
      </c>
    </row>
    <row r="331" ht="12.75">
      <c r="C331" s="275"/>
    </row>
    <row r="332" spans="2:3" ht="12.75">
      <c r="B332" s="275" t="s">
        <v>252</v>
      </c>
      <c r="C332" s="275"/>
    </row>
    <row r="333" ht="12.75">
      <c r="C333" s="275" t="s">
        <v>253</v>
      </c>
    </row>
    <row r="334" ht="12.75">
      <c r="D334" s="275" t="s">
        <v>254</v>
      </c>
    </row>
    <row r="335" ht="12.75">
      <c r="D335" s="275" t="s">
        <v>255</v>
      </c>
    </row>
    <row r="336" ht="12.75">
      <c r="D336" s="275" t="s">
        <v>256</v>
      </c>
    </row>
    <row r="337" ht="12.75">
      <c r="D337" s="275" t="s">
        <v>257</v>
      </c>
    </row>
    <row r="338" ht="12.75">
      <c r="C338" s="88" t="s">
        <v>258</v>
      </c>
    </row>
    <row r="339" ht="12.75">
      <c r="D339" s="88" t="s">
        <v>259</v>
      </c>
    </row>
    <row r="340" ht="12.75">
      <c r="C340" s="88" t="s">
        <v>260</v>
      </c>
    </row>
    <row r="341" ht="12.75">
      <c r="C341" s="88" t="s">
        <v>261</v>
      </c>
    </row>
    <row r="342" ht="12.75">
      <c r="C342" s="275" t="s">
        <v>262</v>
      </c>
    </row>
    <row r="343" ht="12.75">
      <c r="C343" s="275"/>
    </row>
    <row r="344" ht="12.75">
      <c r="B344" s="88" t="s">
        <v>263</v>
      </c>
    </row>
    <row r="345" ht="12.75">
      <c r="C345" s="88" t="s">
        <v>264</v>
      </c>
    </row>
    <row r="346" ht="12.75">
      <c r="D346" s="88" t="s">
        <v>265</v>
      </c>
    </row>
    <row r="347" ht="12.75">
      <c r="D347" s="88" t="s">
        <v>266</v>
      </c>
    </row>
    <row r="348" ht="12.75">
      <c r="D348" s="88" t="s">
        <v>267</v>
      </c>
    </row>
    <row r="349" ht="12.75">
      <c r="D349" s="88" t="s">
        <v>268</v>
      </c>
    </row>
    <row r="350" ht="12.75">
      <c r="D350" s="88" t="s">
        <v>269</v>
      </c>
    </row>
    <row r="351" ht="12.75">
      <c r="C351" s="88" t="s">
        <v>270</v>
      </c>
    </row>
    <row r="352" ht="12.75">
      <c r="C352" s="275" t="s">
        <v>271</v>
      </c>
    </row>
    <row r="353" spans="3:4" ht="12.75">
      <c r="C353" s="275"/>
      <c r="D353" s="275" t="s">
        <v>272</v>
      </c>
    </row>
    <row r="354" spans="3:4" ht="12.75">
      <c r="C354" s="275"/>
      <c r="D354" s="275" t="s">
        <v>273</v>
      </c>
    </row>
    <row r="355" ht="12.75">
      <c r="C355" s="88" t="s">
        <v>274</v>
      </c>
    </row>
    <row r="356" ht="12.75">
      <c r="D356" s="88" t="s">
        <v>275</v>
      </c>
    </row>
    <row r="357" ht="12.75">
      <c r="C357" s="88" t="s">
        <v>276</v>
      </c>
    </row>
    <row r="358" ht="12.75">
      <c r="D358" s="88" t="s">
        <v>277</v>
      </c>
    </row>
    <row r="359" ht="12.75">
      <c r="C359" s="275" t="s">
        <v>278</v>
      </c>
    </row>
    <row r="361" ht="12.75">
      <c r="B361" s="88" t="s">
        <v>279</v>
      </c>
    </row>
    <row r="362" ht="12.75">
      <c r="C362" s="88" t="s">
        <v>280</v>
      </c>
    </row>
    <row r="363" ht="12.75">
      <c r="D363" s="88" t="s">
        <v>281</v>
      </c>
    </row>
    <row r="364" ht="12.75">
      <c r="D364" s="88" t="s">
        <v>282</v>
      </c>
    </row>
    <row r="365" ht="12.75">
      <c r="D365" s="88" t="s">
        <v>283</v>
      </c>
    </row>
    <row r="366" ht="12.75">
      <c r="C366" s="275" t="s">
        <v>284</v>
      </c>
    </row>
    <row r="367" ht="12.75">
      <c r="D367" s="88" t="s">
        <v>285</v>
      </c>
    </row>
    <row r="368" ht="12.75">
      <c r="D368" s="88" t="s">
        <v>286</v>
      </c>
    </row>
    <row r="369" ht="12.75">
      <c r="C369" s="275" t="s">
        <v>287</v>
      </c>
    </row>
    <row r="370" ht="12.75">
      <c r="D370" s="275" t="s">
        <v>288</v>
      </c>
    </row>
    <row r="371" ht="12.75">
      <c r="D371" s="88" t="s">
        <v>289</v>
      </c>
    </row>
    <row r="372" ht="12.75">
      <c r="D372" s="88" t="s">
        <v>290</v>
      </c>
    </row>
    <row r="373" ht="12.75">
      <c r="C373" s="275" t="s">
        <v>291</v>
      </c>
    </row>
    <row r="375" ht="12.75">
      <c r="B375" s="88" t="s">
        <v>292</v>
      </c>
    </row>
    <row r="376" ht="12.75">
      <c r="C376" s="88" t="s">
        <v>293</v>
      </c>
    </row>
    <row r="377" ht="12.75">
      <c r="C377" s="88" t="s">
        <v>294</v>
      </c>
    </row>
    <row r="378" ht="12.75">
      <c r="D378" s="88" t="s">
        <v>295</v>
      </c>
    </row>
    <row r="379" ht="12.75">
      <c r="C379" s="88" t="s">
        <v>296</v>
      </c>
    </row>
    <row r="380" ht="12.75">
      <c r="D380" s="88" t="s">
        <v>297</v>
      </c>
    </row>
    <row r="381" ht="12.75">
      <c r="C381" s="88" t="s">
        <v>298</v>
      </c>
    </row>
    <row r="382" ht="12.75">
      <c r="C382" s="275" t="s">
        <v>299</v>
      </c>
    </row>
    <row r="384" ht="12.75">
      <c r="B384" s="88" t="s">
        <v>300</v>
      </c>
    </row>
    <row r="385" ht="12.75">
      <c r="C385" s="88" t="s">
        <v>1598</v>
      </c>
    </row>
    <row r="386" ht="12.75">
      <c r="D386" s="88" t="s">
        <v>1599</v>
      </c>
    </row>
    <row r="387" ht="12.75">
      <c r="D387" s="88" t="s">
        <v>1600</v>
      </c>
    </row>
    <row r="388" ht="12.75">
      <c r="C388" s="88" t="s">
        <v>301</v>
      </c>
    </row>
    <row r="389" ht="12.75">
      <c r="C389" s="88" t="s">
        <v>302</v>
      </c>
    </row>
    <row r="390" ht="12.75">
      <c r="C390" s="88" t="s">
        <v>303</v>
      </c>
    </row>
    <row r="391" ht="12.75">
      <c r="D391" s="88" t="s">
        <v>304</v>
      </c>
    </row>
    <row r="392" ht="12.75">
      <c r="D392" s="88" t="s">
        <v>1601</v>
      </c>
    </row>
    <row r="393" ht="12.75">
      <c r="C393" s="275" t="s">
        <v>305</v>
      </c>
    </row>
    <row r="395" ht="12.75">
      <c r="B395" s="88" t="s">
        <v>306</v>
      </c>
    </row>
    <row r="396" ht="12.75">
      <c r="C396" s="88" t="s">
        <v>307</v>
      </c>
    </row>
    <row r="397" ht="12.75">
      <c r="C397" s="275" t="s">
        <v>308</v>
      </c>
    </row>
    <row r="398" ht="12.75">
      <c r="D398" s="88" t="s">
        <v>309</v>
      </c>
    </row>
    <row r="399" ht="12.75">
      <c r="D399" s="88" t="s">
        <v>310</v>
      </c>
    </row>
    <row r="400" ht="12.75">
      <c r="D400" s="88" t="s">
        <v>311</v>
      </c>
    </row>
    <row r="401" ht="12.75">
      <c r="C401" s="88" t="s">
        <v>312</v>
      </c>
    </row>
    <row r="402" ht="12.75">
      <c r="C402" s="88" t="s">
        <v>313</v>
      </c>
    </row>
    <row r="403" ht="12.75">
      <c r="D403" s="88" t="s">
        <v>314</v>
      </c>
    </row>
    <row r="404" ht="12.75">
      <c r="D404" s="88" t="s">
        <v>315</v>
      </c>
    </row>
    <row r="405" ht="12.75">
      <c r="C405" s="275" t="s">
        <v>316</v>
      </c>
    </row>
    <row r="407" ht="12.75">
      <c r="B407" s="88" t="s">
        <v>317</v>
      </c>
    </row>
    <row r="408" ht="12.75">
      <c r="C408" s="88" t="s">
        <v>318</v>
      </c>
    </row>
    <row r="409" ht="12.75">
      <c r="D409" s="88" t="s">
        <v>319</v>
      </c>
    </row>
    <row r="410" ht="12.75">
      <c r="C410" s="88" t="s">
        <v>320</v>
      </c>
    </row>
    <row r="412" ht="12.75">
      <c r="B412" s="88" t="s">
        <v>321</v>
      </c>
    </row>
    <row r="413" ht="12.75">
      <c r="C413" s="88" t="s">
        <v>322</v>
      </c>
    </row>
    <row r="414" ht="12.75">
      <c r="C414" s="275" t="s">
        <v>323</v>
      </c>
    </row>
    <row r="415" ht="12.75">
      <c r="D415" s="275" t="s">
        <v>324</v>
      </c>
    </row>
    <row r="416" ht="12.75">
      <c r="D416" s="275" t="s">
        <v>325</v>
      </c>
    </row>
    <row r="417" ht="12.75">
      <c r="D417" s="275"/>
    </row>
    <row r="418" ht="12.75">
      <c r="B418" s="88" t="s">
        <v>326</v>
      </c>
    </row>
    <row r="419" ht="12.75">
      <c r="C419" s="88" t="s">
        <v>327</v>
      </c>
    </row>
    <row r="420" ht="12.75">
      <c r="C420" s="275" t="s">
        <v>328</v>
      </c>
    </row>
    <row r="421" ht="12.75">
      <c r="C421" s="275"/>
    </row>
    <row r="422" ht="12.75">
      <c r="B422" s="88" t="s">
        <v>329</v>
      </c>
    </row>
    <row r="423" ht="12.75">
      <c r="C423" s="88" t="s">
        <v>330</v>
      </c>
    </row>
    <row r="424" ht="12.75">
      <c r="C424" s="88" t="s">
        <v>331</v>
      </c>
    </row>
    <row r="425" ht="12.75">
      <c r="C425" s="88" t="s">
        <v>332</v>
      </c>
    </row>
    <row r="426" ht="12.75">
      <c r="C426" s="88" t="s">
        <v>333</v>
      </c>
    </row>
    <row r="427" ht="12.75">
      <c r="D427" s="275" t="s">
        <v>334</v>
      </c>
    </row>
    <row r="428" ht="12.75">
      <c r="D428" s="275" t="s">
        <v>335</v>
      </c>
    </row>
    <row r="429" ht="12.75">
      <c r="C429" s="88" t="s">
        <v>336</v>
      </c>
    </row>
    <row r="430" ht="12.75">
      <c r="C430" s="88" t="s">
        <v>337</v>
      </c>
    </row>
    <row r="431" ht="12.75">
      <c r="D431" s="88" t="s">
        <v>338</v>
      </c>
    </row>
    <row r="432" ht="12.75">
      <c r="C432" s="88" t="s">
        <v>339</v>
      </c>
    </row>
    <row r="433" ht="12.75">
      <c r="C433" s="275" t="s">
        <v>340</v>
      </c>
    </row>
    <row r="434" ht="12.75">
      <c r="C434" s="275"/>
    </row>
    <row r="435" spans="2:3" ht="12.75">
      <c r="B435" s="275" t="s">
        <v>341</v>
      </c>
      <c r="C435" s="275"/>
    </row>
    <row r="436" spans="2:3" ht="12.75">
      <c r="B436" s="275"/>
      <c r="C436" s="275" t="s">
        <v>342</v>
      </c>
    </row>
    <row r="437" spans="2:3" ht="12.75">
      <c r="B437" s="275"/>
      <c r="C437" s="275" t="s">
        <v>343</v>
      </c>
    </row>
    <row r="438" spans="2:3" ht="12.75">
      <c r="B438" s="275"/>
      <c r="C438" s="275" t="s">
        <v>344</v>
      </c>
    </row>
    <row r="439" spans="1:6" ht="12.75">
      <c r="A439" s="218"/>
      <c r="B439" s="218"/>
      <c r="C439" s="218"/>
      <c r="D439" s="218"/>
      <c r="E439" s="218"/>
      <c r="F439" s="218"/>
    </row>
    <row r="441" ht="12.75">
      <c r="B441" s="88" t="s">
        <v>345</v>
      </c>
    </row>
    <row r="443" ht="12.75">
      <c r="B443" s="88" t="s">
        <v>346</v>
      </c>
    </row>
    <row r="444" ht="12.75">
      <c r="B444" s="88" t="s">
        <v>347</v>
      </c>
    </row>
    <row r="445" ht="12.75">
      <c r="B445" s="88" t="s">
        <v>348</v>
      </c>
    </row>
    <row r="446" ht="12.75">
      <c r="B446" s="88" t="s">
        <v>349</v>
      </c>
    </row>
    <row r="447" ht="12.75">
      <c r="B447" s="88" t="s">
        <v>350</v>
      </c>
    </row>
    <row r="449" ht="12.75">
      <c r="B449" s="88" t="s">
        <v>351</v>
      </c>
    </row>
    <row r="450" ht="12.75">
      <c r="C450" s="88" t="s">
        <v>352</v>
      </c>
    </row>
    <row r="451" ht="12.75">
      <c r="C451" s="88" t="s">
        <v>353</v>
      </c>
    </row>
    <row r="452" ht="12.75">
      <c r="C452" s="88" t="s">
        <v>354</v>
      </c>
    </row>
    <row r="453" ht="12.75">
      <c r="C453" s="88" t="s">
        <v>355</v>
      </c>
    </row>
    <row r="454" ht="12.75">
      <c r="C454" s="88" t="s">
        <v>356</v>
      </c>
    </row>
    <row r="455" ht="12.75">
      <c r="C455" s="88" t="s">
        <v>357</v>
      </c>
    </row>
    <row r="456" ht="12.75">
      <c r="C456" s="88" t="s">
        <v>358</v>
      </c>
    </row>
    <row r="457" ht="12.75">
      <c r="C457" s="88" t="s">
        <v>359</v>
      </c>
    </row>
    <row r="458" ht="12.75">
      <c r="C458" s="88" t="s">
        <v>360</v>
      </c>
    </row>
    <row r="459" ht="12.75">
      <c r="C459" s="88" t="s">
        <v>361</v>
      </c>
    </row>
    <row r="460" ht="12.75">
      <c r="D460" s="88" t="s">
        <v>362</v>
      </c>
    </row>
    <row r="461" ht="12.75">
      <c r="C461" s="88" t="s">
        <v>363</v>
      </c>
    </row>
    <row r="462" spans="1:7" ht="12.75">
      <c r="A462" s="453"/>
      <c r="B462" s="453"/>
      <c r="C462" s="453" t="s">
        <v>364</v>
      </c>
      <c r="D462" s="453"/>
      <c r="E462" s="453"/>
      <c r="F462" s="453"/>
      <c r="G462" s="453"/>
    </row>
    <row r="463" spans="1:7" ht="12.75">
      <c r="A463" s="453"/>
      <c r="B463" s="453"/>
      <c r="C463" s="453"/>
      <c r="D463" s="453" t="s">
        <v>365</v>
      </c>
      <c r="E463" s="453"/>
      <c r="F463" s="453"/>
      <c r="G463" s="453"/>
    </row>
    <row r="464" spans="1:7" ht="12.75">
      <c r="A464" s="453"/>
      <c r="B464" s="453"/>
      <c r="C464" s="453"/>
      <c r="D464" s="453" t="s">
        <v>366</v>
      </c>
      <c r="E464" s="453"/>
      <c r="F464" s="453"/>
      <c r="G464" s="453"/>
    </row>
    <row r="465" spans="1:7" ht="12.75">
      <c r="A465" s="453"/>
      <c r="B465" s="453"/>
      <c r="C465" s="453"/>
      <c r="D465" s="453" t="s">
        <v>367</v>
      </c>
      <c r="E465" s="453"/>
      <c r="F465" s="453"/>
      <c r="G465" s="453"/>
    </row>
    <row r="466" ht="12.75">
      <c r="C466" s="275" t="s">
        <v>368</v>
      </c>
    </row>
    <row r="467" ht="12.75">
      <c r="C467" s="88" t="s">
        <v>369</v>
      </c>
    </row>
    <row r="468" ht="12.75">
      <c r="D468" s="88" t="s">
        <v>370</v>
      </c>
    </row>
    <row r="469" ht="12.75">
      <c r="D469" s="88" t="s">
        <v>371</v>
      </c>
    </row>
    <row r="470" ht="12.75">
      <c r="C470" s="88" t="s">
        <v>372</v>
      </c>
    </row>
    <row r="472" ht="12.75">
      <c r="B472" s="88" t="s">
        <v>373</v>
      </c>
    </row>
    <row r="473" ht="12.75">
      <c r="C473" s="88" t="s">
        <v>374</v>
      </c>
    </row>
    <row r="474" ht="12.75">
      <c r="C474" s="88" t="s">
        <v>375</v>
      </c>
    </row>
    <row r="475" ht="12.75">
      <c r="D475" s="88" t="s">
        <v>376</v>
      </c>
    </row>
    <row r="476" ht="12.75">
      <c r="D476" s="275" t="s">
        <v>377</v>
      </c>
    </row>
    <row r="477" ht="12.75">
      <c r="C477" s="88" t="s">
        <v>378</v>
      </c>
    </row>
    <row r="478" ht="12.75">
      <c r="C478" s="275" t="s">
        <v>379</v>
      </c>
    </row>
    <row r="479" ht="12.75">
      <c r="D479" s="275" t="s">
        <v>380</v>
      </c>
    </row>
    <row r="480" ht="12.75">
      <c r="D480" s="275" t="s">
        <v>381</v>
      </c>
    </row>
    <row r="481" ht="12.75">
      <c r="D481" s="275" t="s">
        <v>382</v>
      </c>
    </row>
    <row r="482" ht="12.75">
      <c r="D482" s="275" t="s">
        <v>383</v>
      </c>
    </row>
    <row r="483" ht="12.75">
      <c r="D483" s="275" t="s">
        <v>384</v>
      </c>
    </row>
    <row r="484" spans="3:4" ht="12.75">
      <c r="C484" s="275" t="s">
        <v>385</v>
      </c>
      <c r="D484" s="275"/>
    </row>
    <row r="485" ht="12.75">
      <c r="D485" s="275" t="s">
        <v>386</v>
      </c>
    </row>
    <row r="486" ht="12.75">
      <c r="C486" s="275" t="s">
        <v>387</v>
      </c>
    </row>
    <row r="487" ht="12.75">
      <c r="D487" s="275" t="s">
        <v>388</v>
      </c>
    </row>
    <row r="488" ht="12.75">
      <c r="C488" s="88" t="s">
        <v>389</v>
      </c>
    </row>
    <row r="489" ht="12.75">
      <c r="C489" s="88" t="s">
        <v>390</v>
      </c>
    </row>
    <row r="490" ht="12.75">
      <c r="C490" s="88" t="s">
        <v>391</v>
      </c>
    </row>
    <row r="491" ht="12.75">
      <c r="D491" s="88" t="s">
        <v>392</v>
      </c>
    </row>
    <row r="492" ht="12.75">
      <c r="C492" s="88" t="s">
        <v>393</v>
      </c>
    </row>
    <row r="493" ht="12.75">
      <c r="D493" s="88" t="s">
        <v>394</v>
      </c>
    </row>
    <row r="494" ht="12.75">
      <c r="C494" s="88" t="s">
        <v>395</v>
      </c>
    </row>
    <row r="495" ht="12.75">
      <c r="D495" s="88" t="s">
        <v>396</v>
      </c>
    </row>
    <row r="497" ht="12.75">
      <c r="B497" s="88" t="s">
        <v>397</v>
      </c>
    </row>
    <row r="498" ht="12.75">
      <c r="C498" s="88" t="s">
        <v>374</v>
      </c>
    </row>
    <row r="499" ht="12.75">
      <c r="C499" s="88" t="s">
        <v>398</v>
      </c>
    </row>
    <row r="500" ht="12.75">
      <c r="C500" s="88" t="s">
        <v>399</v>
      </c>
    </row>
    <row r="501" ht="12.75">
      <c r="C501" s="88" t="s">
        <v>400</v>
      </c>
    </row>
    <row r="502" ht="12.75">
      <c r="C502" s="88" t="s">
        <v>401</v>
      </c>
    </row>
    <row r="504" ht="12.75">
      <c r="B504" s="88" t="s">
        <v>402</v>
      </c>
    </row>
    <row r="505" ht="12.75">
      <c r="C505" s="88" t="s">
        <v>374</v>
      </c>
    </row>
    <row r="506" ht="12.75">
      <c r="C506" s="88" t="s">
        <v>403</v>
      </c>
    </row>
    <row r="507" spans="1:7" ht="12.75">
      <c r="A507" s="218"/>
      <c r="B507" s="218"/>
      <c r="C507" s="218"/>
      <c r="D507" s="218"/>
      <c r="E507" s="218"/>
      <c r="F507" s="218"/>
      <c r="G507" s="218"/>
    </row>
    <row r="509" ht="12.75">
      <c r="B509" s="88" t="s">
        <v>404</v>
      </c>
    </row>
    <row r="511" ht="12.75">
      <c r="B511" s="275" t="s">
        <v>405</v>
      </c>
    </row>
    <row r="512" spans="2:3" ht="12.75">
      <c r="B512" s="275"/>
      <c r="C512" s="275" t="s">
        <v>406</v>
      </c>
    </row>
    <row r="514" ht="12.75">
      <c r="B514" s="88" t="s">
        <v>407</v>
      </c>
    </row>
    <row r="515" ht="12.75">
      <c r="B515" s="88" t="s">
        <v>408</v>
      </c>
    </row>
    <row r="516" ht="12.75">
      <c r="B516" s="88" t="s">
        <v>409</v>
      </c>
    </row>
    <row r="517" ht="12.75">
      <c r="B517" s="88" t="s">
        <v>410</v>
      </c>
    </row>
    <row r="518" ht="12.75">
      <c r="B518" s="88" t="s">
        <v>411</v>
      </c>
    </row>
    <row r="519" ht="12.75">
      <c r="B519" s="88" t="s">
        <v>412</v>
      </c>
    </row>
    <row r="520" ht="12.75">
      <c r="C520" s="88" t="s">
        <v>413</v>
      </c>
    </row>
    <row r="521" ht="12.75">
      <c r="B521" s="88" t="s">
        <v>416</v>
      </c>
    </row>
    <row r="522" ht="12.75">
      <c r="B522" s="88" t="s">
        <v>417</v>
      </c>
    </row>
    <row r="523" ht="12.75">
      <c r="B523" s="88" t="s">
        <v>418</v>
      </c>
    </row>
    <row r="524" ht="12.75">
      <c r="B524" s="88" t="s">
        <v>419</v>
      </c>
    </row>
    <row r="525" ht="12.75">
      <c r="B525" s="88" t="s">
        <v>420</v>
      </c>
    </row>
    <row r="526" ht="12.75">
      <c r="C526" s="88" t="s">
        <v>421</v>
      </c>
    </row>
    <row r="527" ht="12.75">
      <c r="C527" s="88" t="s">
        <v>422</v>
      </c>
    </row>
    <row r="528" ht="12.75">
      <c r="C528" s="88" t="s">
        <v>423</v>
      </c>
    </row>
    <row r="529" ht="12.75">
      <c r="B529" s="88" t="s">
        <v>424</v>
      </c>
    </row>
    <row r="530" ht="12.75">
      <c r="B530" s="88" t="s">
        <v>425</v>
      </c>
    </row>
    <row r="531" ht="12.75">
      <c r="B531" s="88" t="s">
        <v>426</v>
      </c>
    </row>
    <row r="533" ht="12.75">
      <c r="B533" s="88" t="s">
        <v>427</v>
      </c>
    </row>
    <row r="534" ht="12.75">
      <c r="B534" s="88" t="s">
        <v>428</v>
      </c>
    </row>
    <row r="535" ht="12.75">
      <c r="B535" s="88" t="s">
        <v>429</v>
      </c>
    </row>
    <row r="536" ht="12.75">
      <c r="B536" s="88" t="s">
        <v>430</v>
      </c>
    </row>
    <row r="537" ht="12.75">
      <c r="B537" s="88" t="s">
        <v>431</v>
      </c>
    </row>
    <row r="538" ht="12.75">
      <c r="B538" s="88" t="s">
        <v>432</v>
      </c>
    </row>
    <row r="540" ht="12.75">
      <c r="B540" s="88" t="s">
        <v>215</v>
      </c>
    </row>
    <row r="541" ht="12.75">
      <c r="B541" s="88" t="s">
        <v>436</v>
      </c>
    </row>
    <row r="542" ht="12.75">
      <c r="C542" s="88" t="s">
        <v>437</v>
      </c>
    </row>
    <row r="543" ht="12.75">
      <c r="C543" s="88" t="s">
        <v>438</v>
      </c>
    </row>
    <row r="544" ht="12.75">
      <c r="C544" s="88" t="s">
        <v>441</v>
      </c>
    </row>
    <row r="545" ht="12.75">
      <c r="C545" s="275" t="s">
        <v>442</v>
      </c>
    </row>
    <row r="546" ht="12.75">
      <c r="C546" s="275" t="s">
        <v>443</v>
      </c>
    </row>
    <row r="547" ht="12.75">
      <c r="C547" s="275" t="s">
        <v>444</v>
      </c>
    </row>
    <row r="548" ht="12.75">
      <c r="C548" s="275" t="s">
        <v>445</v>
      </c>
    </row>
    <row r="549" ht="12.75">
      <c r="C549" s="275"/>
    </row>
    <row r="550" ht="12.75">
      <c r="B550" s="88" t="s">
        <v>446</v>
      </c>
    </row>
    <row r="551" ht="12.75">
      <c r="B551" s="88" t="s">
        <v>447</v>
      </c>
    </row>
    <row r="552" ht="12.75">
      <c r="C552" s="88" t="s">
        <v>448</v>
      </c>
    </row>
    <row r="553" ht="12.75">
      <c r="C553" s="88" t="s">
        <v>449</v>
      </c>
    </row>
    <row r="554" ht="12.75">
      <c r="B554" s="88" t="s">
        <v>450</v>
      </c>
    </row>
    <row r="555" ht="12.75">
      <c r="C555" s="88" t="s">
        <v>451</v>
      </c>
    </row>
    <row r="556" ht="12.75">
      <c r="B556" s="88" t="s">
        <v>452</v>
      </c>
    </row>
    <row r="557" ht="12.75">
      <c r="C557" s="88" t="s">
        <v>453</v>
      </c>
    </row>
    <row r="558" ht="12.75">
      <c r="B558" s="88" t="s">
        <v>454</v>
      </c>
    </row>
    <row r="559" ht="12.75">
      <c r="B559" s="275" t="s">
        <v>455</v>
      </c>
    </row>
    <row r="560" spans="2:3" ht="12.75">
      <c r="B560" s="275"/>
      <c r="C560" s="275" t="s">
        <v>456</v>
      </c>
    </row>
    <row r="561" ht="12.75">
      <c r="B561" s="88" t="s">
        <v>457</v>
      </c>
    </row>
    <row r="562" ht="12.75">
      <c r="C562" s="88" t="s">
        <v>458</v>
      </c>
    </row>
    <row r="563" ht="12.75">
      <c r="C563" s="88" t="s">
        <v>459</v>
      </c>
    </row>
    <row r="564" ht="12.75">
      <c r="B564" s="88" t="s">
        <v>460</v>
      </c>
    </row>
    <row r="565" ht="12.75">
      <c r="B565" s="88" t="s">
        <v>461</v>
      </c>
    </row>
    <row r="566" ht="12.75">
      <c r="C566" s="88" t="s">
        <v>462</v>
      </c>
    </row>
    <row r="567" ht="12.75">
      <c r="B567" s="88" t="s">
        <v>463</v>
      </c>
    </row>
    <row r="568" ht="12.75">
      <c r="B568" s="88" t="s">
        <v>464</v>
      </c>
    </row>
    <row r="569" ht="12.75">
      <c r="B569" s="88" t="s">
        <v>465</v>
      </c>
    </row>
    <row r="570" ht="12.75">
      <c r="C570" s="88" t="s">
        <v>466</v>
      </c>
    </row>
    <row r="571" ht="12.75">
      <c r="B571" s="88" t="s">
        <v>467</v>
      </c>
    </row>
    <row r="572" ht="12.75">
      <c r="B572" s="88" t="s">
        <v>468</v>
      </c>
    </row>
    <row r="573" ht="12.75">
      <c r="B573" s="88" t="s">
        <v>469</v>
      </c>
    </row>
    <row r="574" ht="12.75">
      <c r="B574" s="88" t="s">
        <v>470</v>
      </c>
    </row>
    <row r="575" ht="12.75">
      <c r="B575" s="88" t="s">
        <v>471</v>
      </c>
    </row>
    <row r="576" ht="12.75">
      <c r="B576" s="275" t="s">
        <v>472</v>
      </c>
    </row>
    <row r="577" ht="12.75">
      <c r="B577" s="275" t="s">
        <v>473</v>
      </c>
    </row>
    <row r="578" ht="12.75">
      <c r="B578" s="275"/>
    </row>
    <row r="579" ht="12.75">
      <c r="B579" s="88" t="s">
        <v>474</v>
      </c>
    </row>
    <row r="580" ht="12.75">
      <c r="B580" s="88" t="s">
        <v>475</v>
      </c>
    </row>
    <row r="582" ht="12.75">
      <c r="B582" s="88" t="s">
        <v>279</v>
      </c>
    </row>
    <row r="583" ht="12.75">
      <c r="B583" s="88" t="s">
        <v>476</v>
      </c>
    </row>
    <row r="585" ht="12.75">
      <c r="B585" s="88" t="s">
        <v>477</v>
      </c>
    </row>
    <row r="586" ht="12.75">
      <c r="B586" s="88" t="s">
        <v>478</v>
      </c>
    </row>
    <row r="588" ht="12.75">
      <c r="B588" s="88" t="s">
        <v>479</v>
      </c>
    </row>
    <row r="589" ht="12.75">
      <c r="B589" s="88" t="s">
        <v>480</v>
      </c>
    </row>
    <row r="590" spans="1:6" ht="12.75">
      <c r="A590" s="218"/>
      <c r="B590" s="218"/>
      <c r="C590" s="218"/>
      <c r="D590" s="218"/>
      <c r="E590" s="218"/>
      <c r="F590" s="218"/>
    </row>
    <row r="592" spans="1:7" ht="12.75">
      <c r="A592" s="453"/>
      <c r="B592" s="453" t="s">
        <v>481</v>
      </c>
      <c r="C592" s="453"/>
      <c r="D592" s="453"/>
      <c r="E592" s="453"/>
      <c r="F592" s="453"/>
      <c r="G592" s="453"/>
    </row>
    <row r="593" spans="1:7" ht="12.75">
      <c r="A593" s="453"/>
      <c r="B593" s="453"/>
      <c r="C593" s="453"/>
      <c r="D593" s="453"/>
      <c r="E593" s="453"/>
      <c r="F593" s="453"/>
      <c r="G593" s="453"/>
    </row>
    <row r="594" spans="1:6" ht="12.75">
      <c r="A594" s="453"/>
      <c r="B594" s="453" t="s">
        <v>482</v>
      </c>
      <c r="C594" s="453"/>
      <c r="D594" s="453"/>
      <c r="E594" s="453"/>
      <c r="F594" s="453"/>
    </row>
    <row r="595" spans="1:7" ht="12.75">
      <c r="A595" s="453"/>
      <c r="B595" s="453" t="s">
        <v>483</v>
      </c>
      <c r="C595" s="453"/>
      <c r="D595" s="453"/>
      <c r="E595" s="453"/>
      <c r="F595" s="453"/>
      <c r="G595" s="453"/>
    </row>
    <row r="596" spans="1:7" ht="12.75">
      <c r="A596" s="453"/>
      <c r="B596" s="453"/>
      <c r="C596" s="453"/>
      <c r="D596" s="453"/>
      <c r="E596" s="453"/>
      <c r="F596" s="453"/>
      <c r="G596" s="453"/>
    </row>
    <row r="597" spans="1:7" ht="12.75">
      <c r="A597" s="453"/>
      <c r="B597" s="453" t="s">
        <v>484</v>
      </c>
      <c r="C597" s="453"/>
      <c r="D597" s="453"/>
      <c r="E597" s="453"/>
      <c r="F597" s="453"/>
      <c r="G597" s="453"/>
    </row>
    <row r="598" spans="1:7" ht="12.75">
      <c r="A598" s="453"/>
      <c r="B598" s="453"/>
      <c r="C598" s="453"/>
      <c r="D598" s="453"/>
      <c r="E598" s="453"/>
      <c r="F598" s="453"/>
      <c r="G598" s="453"/>
    </row>
    <row r="599" spans="1:7" ht="12.75">
      <c r="A599" s="453"/>
      <c r="B599" s="453" t="s">
        <v>485</v>
      </c>
      <c r="C599" s="453"/>
      <c r="D599" s="453"/>
      <c r="E599" s="453"/>
      <c r="F599" s="453"/>
      <c r="G599" s="453"/>
    </row>
    <row r="600" spans="1:7" ht="12.75">
      <c r="A600" s="453"/>
      <c r="B600" s="453" t="s">
        <v>486</v>
      </c>
      <c r="C600" s="453"/>
      <c r="D600" s="453"/>
      <c r="E600" s="453"/>
      <c r="F600" s="453"/>
      <c r="G600" s="453"/>
    </row>
    <row r="601" spans="1:7" ht="12.75">
      <c r="A601" s="453"/>
      <c r="B601" s="453" t="s">
        <v>487</v>
      </c>
      <c r="C601" s="453"/>
      <c r="D601" s="453"/>
      <c r="E601" s="453"/>
      <c r="F601" s="453"/>
      <c r="G601" s="453"/>
    </row>
    <row r="602" spans="1:7" ht="12.75">
      <c r="A602" s="453"/>
      <c r="B602" s="453" t="s">
        <v>488</v>
      </c>
      <c r="C602" s="453"/>
      <c r="D602" s="453"/>
      <c r="E602" s="453"/>
      <c r="F602" s="453"/>
      <c r="G602" s="453"/>
    </row>
    <row r="603" spans="1:7" ht="12.75">
      <c r="A603" s="453"/>
      <c r="B603" s="453" t="s">
        <v>489</v>
      </c>
      <c r="C603" s="453"/>
      <c r="D603" s="453"/>
      <c r="E603" s="453"/>
      <c r="F603" s="453"/>
      <c r="G603" s="453"/>
    </row>
    <row r="604" spans="1:7" ht="12.75">
      <c r="A604" s="453"/>
      <c r="B604" s="453" t="s">
        <v>490</v>
      </c>
      <c r="C604" s="453"/>
      <c r="D604" s="453"/>
      <c r="E604" s="453"/>
      <c r="F604" s="453"/>
      <c r="G604" s="453"/>
    </row>
    <row r="605" spans="1:7" ht="12.75">
      <c r="A605" s="453"/>
      <c r="B605" s="453"/>
      <c r="C605" s="453" t="s">
        <v>491</v>
      </c>
      <c r="D605" s="453"/>
      <c r="E605" s="453"/>
      <c r="F605" s="453"/>
      <c r="G605" s="453"/>
    </row>
    <row r="606" spans="1:7" ht="12.75">
      <c r="A606" s="453"/>
      <c r="B606" s="453" t="s">
        <v>492</v>
      </c>
      <c r="C606" s="453"/>
      <c r="D606" s="453"/>
      <c r="E606" s="453"/>
      <c r="F606" s="453"/>
      <c r="G606" s="453"/>
    </row>
    <row r="607" spans="1:7" ht="12.75">
      <c r="A607" s="453"/>
      <c r="B607" s="453" t="s">
        <v>493</v>
      </c>
      <c r="C607" s="453"/>
      <c r="D607" s="453"/>
      <c r="E607" s="453"/>
      <c r="F607" s="453"/>
      <c r="G607" s="453"/>
    </row>
    <row r="608" spans="1:7" ht="12.75">
      <c r="A608" s="453"/>
      <c r="B608" s="453" t="s">
        <v>494</v>
      </c>
      <c r="C608" s="453"/>
      <c r="D608" s="453"/>
      <c r="E608" s="453"/>
      <c r="F608" s="453"/>
      <c r="G608" s="453"/>
    </row>
    <row r="609" spans="1:7" ht="12.75">
      <c r="A609" s="453"/>
      <c r="B609" s="453"/>
      <c r="C609" s="453" t="s">
        <v>495</v>
      </c>
      <c r="D609" s="453"/>
      <c r="E609" s="453"/>
      <c r="F609" s="453"/>
      <c r="G609" s="453"/>
    </row>
    <row r="610" spans="1:7" ht="12.75">
      <c r="A610" s="453"/>
      <c r="B610" s="453"/>
      <c r="C610" s="453" t="s">
        <v>496</v>
      </c>
      <c r="D610" s="453"/>
      <c r="E610" s="453"/>
      <c r="F610" s="453"/>
      <c r="G610" s="453"/>
    </row>
    <row r="611" spans="1:7" ht="12.75">
      <c r="A611" s="453"/>
      <c r="B611" s="453" t="s">
        <v>497</v>
      </c>
      <c r="C611" s="453"/>
      <c r="D611" s="453"/>
      <c r="E611" s="453"/>
      <c r="F611" s="453"/>
      <c r="G611" s="453"/>
    </row>
    <row r="612" spans="1:7" ht="12.75">
      <c r="A612" s="453"/>
      <c r="B612" s="497" t="s">
        <v>498</v>
      </c>
      <c r="C612" s="453"/>
      <c r="D612" s="453"/>
      <c r="E612" s="453"/>
      <c r="F612" s="453"/>
      <c r="G612" s="453"/>
    </row>
    <row r="613" spans="1:7" ht="12.75">
      <c r="A613" s="453"/>
      <c r="B613" s="497" t="s">
        <v>499</v>
      </c>
      <c r="C613" s="453"/>
      <c r="D613" s="453"/>
      <c r="E613" s="453"/>
      <c r="F613" s="453"/>
      <c r="G613" s="453"/>
    </row>
    <row r="614" spans="1:7" ht="12.75">
      <c r="A614" s="453"/>
      <c r="B614" s="497" t="s">
        <v>500</v>
      </c>
      <c r="C614" s="453"/>
      <c r="D614" s="453"/>
      <c r="E614" s="453"/>
      <c r="F614" s="453"/>
      <c r="G614" s="453"/>
    </row>
    <row r="615" spans="1:7" ht="12.75">
      <c r="A615" s="453"/>
      <c r="B615" s="497" t="s">
        <v>501</v>
      </c>
      <c r="C615" s="453"/>
      <c r="D615" s="453"/>
      <c r="E615" s="453"/>
      <c r="F615" s="453"/>
      <c r="G615" s="453"/>
    </row>
    <row r="616" spans="1:7" ht="12.75">
      <c r="A616" s="453"/>
      <c r="B616" s="497" t="s">
        <v>502</v>
      </c>
      <c r="C616" s="453"/>
      <c r="D616" s="453"/>
      <c r="E616" s="453"/>
      <c r="F616" s="453"/>
      <c r="G616" s="453"/>
    </row>
    <row r="617" spans="1:7" ht="12.75">
      <c r="A617" s="453"/>
      <c r="B617" s="497" t="s">
        <v>503</v>
      </c>
      <c r="C617" s="453"/>
      <c r="D617" s="453"/>
      <c r="E617" s="453"/>
      <c r="F617" s="453"/>
      <c r="G617" s="453"/>
    </row>
    <row r="618" spans="1:7" ht="12.75">
      <c r="A618" s="453"/>
      <c r="B618" s="88" t="s">
        <v>504</v>
      </c>
      <c r="C618" s="453"/>
      <c r="D618" s="453"/>
      <c r="E618" s="453"/>
      <c r="F618" s="453"/>
      <c r="G618" s="453"/>
    </row>
    <row r="619" spans="1:7" ht="12.75">
      <c r="A619" s="453"/>
      <c r="B619" s="497" t="s">
        <v>505</v>
      </c>
      <c r="C619" s="453"/>
      <c r="D619" s="453"/>
      <c r="E619" s="453"/>
      <c r="F619" s="453"/>
      <c r="G619" s="453"/>
    </row>
    <row r="620" spans="1:7" ht="12.75">
      <c r="A620" s="453"/>
      <c r="B620" s="497" t="s">
        <v>506</v>
      </c>
      <c r="C620" s="453"/>
      <c r="D620" s="453"/>
      <c r="E620" s="453"/>
      <c r="F620" s="453"/>
      <c r="G620" s="453"/>
    </row>
    <row r="621" spans="1:7" ht="12.75">
      <c r="A621" s="453"/>
      <c r="B621" s="497" t="s">
        <v>507</v>
      </c>
      <c r="C621" s="453"/>
      <c r="D621" s="453"/>
      <c r="E621" s="453"/>
      <c r="F621" s="453"/>
      <c r="G621" s="453"/>
    </row>
    <row r="622" spans="1:7" ht="12.75">
      <c r="A622" s="453"/>
      <c r="B622" s="497" t="s">
        <v>508</v>
      </c>
      <c r="C622" s="453"/>
      <c r="D622" s="453"/>
      <c r="E622" s="453"/>
      <c r="F622" s="453"/>
      <c r="G622" s="453"/>
    </row>
    <row r="623" spans="1:7" ht="12.75">
      <c r="A623" s="453"/>
      <c r="B623" s="497" t="s">
        <v>509</v>
      </c>
      <c r="C623" s="453"/>
      <c r="D623" s="453"/>
      <c r="E623" s="453"/>
      <c r="F623" s="453"/>
      <c r="G623" s="453"/>
    </row>
    <row r="624" spans="1:7" ht="12.75">
      <c r="A624" s="453"/>
      <c r="B624" s="497" t="s">
        <v>510</v>
      </c>
      <c r="C624" s="453"/>
      <c r="D624" s="453"/>
      <c r="E624" s="453"/>
      <c r="F624" s="453"/>
      <c r="G624" s="453"/>
    </row>
    <row r="625" spans="1:7" ht="12.75">
      <c r="A625" s="453"/>
      <c r="B625" s="497"/>
      <c r="C625" s="453" t="s">
        <v>511</v>
      </c>
      <c r="D625" s="453"/>
      <c r="E625" s="453"/>
      <c r="F625" s="453"/>
      <c r="G625" s="453"/>
    </row>
    <row r="626" spans="1:7" ht="12.75">
      <c r="A626" s="453"/>
      <c r="B626" s="497" t="s">
        <v>512</v>
      </c>
      <c r="C626" s="453"/>
      <c r="D626" s="453"/>
      <c r="E626" s="453"/>
      <c r="F626" s="453"/>
      <c r="G626" s="453"/>
    </row>
    <row r="627" spans="1:7" ht="12.75">
      <c r="A627" s="453"/>
      <c r="B627" s="497" t="s">
        <v>513</v>
      </c>
      <c r="C627" s="453"/>
      <c r="D627" s="453"/>
      <c r="E627" s="453"/>
      <c r="F627" s="453"/>
      <c r="G627" s="453"/>
    </row>
    <row r="628" spans="1:7" ht="12.75">
      <c r="A628" s="453"/>
      <c r="B628" s="497" t="s">
        <v>514</v>
      </c>
      <c r="C628" s="453"/>
      <c r="D628" s="453"/>
      <c r="E628" s="453"/>
      <c r="F628" s="453"/>
      <c r="G628" s="453"/>
    </row>
    <row r="629" spans="1:7" ht="12.75">
      <c r="A629" s="453"/>
      <c r="B629" s="497" t="s">
        <v>515</v>
      </c>
      <c r="C629" s="453"/>
      <c r="D629" s="453"/>
      <c r="E629" s="453"/>
      <c r="F629" s="453"/>
      <c r="G629" s="453"/>
    </row>
    <row r="630" spans="1:7" ht="12.75">
      <c r="A630" s="453"/>
      <c r="B630" s="497" t="s">
        <v>516</v>
      </c>
      <c r="C630" s="453"/>
      <c r="D630" s="453"/>
      <c r="E630" s="453"/>
      <c r="F630" s="453"/>
      <c r="G630" s="453"/>
    </row>
    <row r="631" spans="1:7" ht="12.75">
      <c r="A631" s="453"/>
      <c r="B631" s="497"/>
      <c r="C631" s="453" t="s">
        <v>517</v>
      </c>
      <c r="D631" s="453"/>
      <c r="E631" s="453"/>
      <c r="F631" s="453"/>
      <c r="G631" s="453"/>
    </row>
    <row r="632" spans="1:7" ht="12.75">
      <c r="A632" s="453"/>
      <c r="B632" s="497"/>
      <c r="C632" s="453" t="s">
        <v>518</v>
      </c>
      <c r="D632" s="453"/>
      <c r="E632" s="453"/>
      <c r="F632" s="453"/>
      <c r="G632" s="453"/>
    </row>
    <row r="633" spans="1:7" ht="12.75">
      <c r="A633" s="453"/>
      <c r="B633" s="497"/>
      <c r="C633" s="453" t="s">
        <v>519</v>
      </c>
      <c r="D633" s="453"/>
      <c r="E633" s="453"/>
      <c r="F633" s="453"/>
      <c r="G633" s="453"/>
    </row>
    <row r="634" spans="1:7" ht="12.75">
      <c r="A634" s="453"/>
      <c r="B634" s="497"/>
      <c r="C634" s="453"/>
      <c r="D634" s="453" t="s">
        <v>520</v>
      </c>
      <c r="E634" s="453"/>
      <c r="F634" s="453"/>
      <c r="G634" s="453"/>
    </row>
    <row r="635" spans="1:7" ht="12.75">
      <c r="A635" s="453"/>
      <c r="B635" s="497"/>
      <c r="C635" s="453" t="s">
        <v>521</v>
      </c>
      <c r="D635" s="453"/>
      <c r="E635" s="453"/>
      <c r="F635" s="453"/>
      <c r="G635" s="453"/>
    </row>
    <row r="636" spans="1:7" ht="12.75">
      <c r="A636" s="453"/>
      <c r="B636" s="497"/>
      <c r="C636" s="453"/>
      <c r="D636" s="453" t="s">
        <v>522</v>
      </c>
      <c r="E636" s="453"/>
      <c r="F636" s="453"/>
      <c r="G636" s="453"/>
    </row>
    <row r="637" spans="1:7" ht="12.75">
      <c r="A637" s="453"/>
      <c r="B637" s="497"/>
      <c r="C637" s="453"/>
      <c r="D637" s="453" t="s">
        <v>523</v>
      </c>
      <c r="E637" s="453"/>
      <c r="F637" s="453"/>
      <c r="G637" s="453"/>
    </row>
    <row r="638" spans="1:7" ht="12.75">
      <c r="A638" s="453"/>
      <c r="B638" s="497"/>
      <c r="C638" s="453" t="s">
        <v>524</v>
      </c>
      <c r="D638" s="453"/>
      <c r="E638" s="453"/>
      <c r="F638" s="453"/>
      <c r="G638" s="453"/>
    </row>
    <row r="639" spans="1:7" ht="12.75">
      <c r="A639" s="453"/>
      <c r="B639" s="497"/>
      <c r="C639" s="453" t="s">
        <v>525</v>
      </c>
      <c r="D639" s="453"/>
      <c r="E639" s="453"/>
      <c r="F639" s="453"/>
      <c r="G639" s="453"/>
    </row>
    <row r="640" spans="1:7" ht="12.75">
      <c r="A640" s="453"/>
      <c r="B640" s="497"/>
      <c r="C640" s="453"/>
      <c r="D640" s="453" t="s">
        <v>526</v>
      </c>
      <c r="E640" s="453"/>
      <c r="F640" s="453"/>
      <c r="G640" s="453"/>
    </row>
    <row r="641" spans="1:7" ht="12.75">
      <c r="A641" s="453"/>
      <c r="B641" s="497"/>
      <c r="C641" s="453"/>
      <c r="D641" s="453" t="s">
        <v>527</v>
      </c>
      <c r="E641" s="453"/>
      <c r="F641" s="453"/>
      <c r="G641" s="453"/>
    </row>
    <row r="642" spans="1:7" ht="12.75">
      <c r="A642" s="453"/>
      <c r="B642" s="497"/>
      <c r="C642" s="453" t="s">
        <v>528</v>
      </c>
      <c r="D642" s="453"/>
      <c r="E642" s="453"/>
      <c r="F642" s="453"/>
      <c r="G642" s="453"/>
    </row>
    <row r="643" spans="1:6" ht="12.75">
      <c r="A643" s="218"/>
      <c r="B643" s="218"/>
      <c r="C643" s="218"/>
      <c r="D643" s="218"/>
      <c r="E643" s="218"/>
      <c r="F643" s="218"/>
    </row>
    <row r="645" ht="12.75">
      <c r="B645" s="88" t="s">
        <v>529</v>
      </c>
    </row>
    <row r="647" ht="12.75">
      <c r="B647" s="88" t="s">
        <v>530</v>
      </c>
    </row>
    <row r="648" ht="12.75">
      <c r="B648" s="88" t="s">
        <v>531</v>
      </c>
    </row>
    <row r="650" spans="1:6" ht="12.75">
      <c r="A650" s="218"/>
      <c r="B650" s="218"/>
      <c r="C650" s="218"/>
      <c r="D650" s="218"/>
      <c r="E650" s="218"/>
      <c r="F650" s="218"/>
    </row>
    <row r="652" ht="12.75">
      <c r="B652" s="275" t="s">
        <v>532</v>
      </c>
    </row>
    <row r="654" ht="12.75">
      <c r="B654" s="275" t="s">
        <v>533</v>
      </c>
    </row>
    <row r="655" ht="12.75">
      <c r="B655" s="275" t="s">
        <v>534</v>
      </c>
    </row>
    <row r="657" ht="12.75">
      <c r="B657" s="275" t="s">
        <v>535</v>
      </c>
    </row>
    <row r="658" ht="12.75">
      <c r="B658" s="275" t="s">
        <v>536</v>
      </c>
    </row>
    <row r="659" ht="12.75">
      <c r="B659" s="275" t="s">
        <v>537</v>
      </c>
    </row>
    <row r="661" ht="12.75">
      <c r="B661" s="275" t="s">
        <v>538</v>
      </c>
    </row>
    <row r="662" ht="12.75">
      <c r="B662" s="275" t="s">
        <v>539</v>
      </c>
    </row>
    <row r="663" ht="12.75">
      <c r="B663" s="275" t="s">
        <v>540</v>
      </c>
    </row>
    <row r="664" spans="1:6" ht="12.75">
      <c r="A664" s="218"/>
      <c r="B664" s="218"/>
      <c r="C664" s="218"/>
      <c r="D664" s="218"/>
      <c r="E664" s="218"/>
      <c r="F664" s="218"/>
    </row>
    <row r="666" ht="12.75">
      <c r="B666" s="275" t="s">
        <v>541</v>
      </c>
    </row>
    <row r="668" ht="12.75">
      <c r="B668" s="275" t="s">
        <v>542</v>
      </c>
    </row>
    <row r="669" ht="12.75">
      <c r="B669" s="275" t="s">
        <v>543</v>
      </c>
    </row>
    <row r="670" ht="12.75">
      <c r="B670" s="275" t="s">
        <v>544</v>
      </c>
    </row>
    <row r="671" ht="12.75">
      <c r="B671" s="275" t="s">
        <v>545</v>
      </c>
    </row>
    <row r="672" ht="12.75">
      <c r="B672" s="275" t="s">
        <v>546</v>
      </c>
    </row>
    <row r="673" ht="12.75">
      <c r="B673" s="275"/>
    </row>
    <row r="674" ht="12.75">
      <c r="B674" s="275" t="s">
        <v>547</v>
      </c>
    </row>
    <row r="675" ht="12.75">
      <c r="B675" s="275" t="s">
        <v>548</v>
      </c>
    </row>
    <row r="677" ht="12.75">
      <c r="B677" s="275" t="s">
        <v>549</v>
      </c>
    </row>
    <row r="678" ht="12.75">
      <c r="B678" s="275" t="s">
        <v>550</v>
      </c>
    </row>
    <row r="679" ht="12.75">
      <c r="B679" s="275" t="s">
        <v>551</v>
      </c>
    </row>
    <row r="680" ht="12.75">
      <c r="B680" s="275" t="s">
        <v>552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1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14.421875" style="0" customWidth="1"/>
    <col min="8" max="8" width="12.7109375" style="149" customWidth="1"/>
    <col min="9" max="9" width="1.1484375" style="0" customWidth="1"/>
    <col min="10" max="10" width="70.7109375" style="0" customWidth="1"/>
  </cols>
  <sheetData>
    <row r="1" spans="1:12" ht="12.75">
      <c r="A1" s="54"/>
      <c r="B1" s="54"/>
      <c r="C1" s="56"/>
      <c r="D1" s="56"/>
      <c r="E1" s="56"/>
      <c r="F1" s="56"/>
      <c r="G1" s="56"/>
      <c r="H1" s="244"/>
      <c r="I1" s="56"/>
      <c r="J1" s="56"/>
      <c r="K1" s="56"/>
      <c r="L1" s="56"/>
    </row>
    <row r="2" spans="1:12" ht="15.75">
      <c r="A2" s="54"/>
      <c r="B2" s="245"/>
      <c r="C2" s="246" t="s">
        <v>1162</v>
      </c>
      <c r="D2" s="248"/>
      <c r="E2" s="248"/>
      <c r="F2" s="248"/>
      <c r="G2" s="248"/>
      <c r="H2" s="140"/>
      <c r="I2" s="251"/>
      <c r="J2" s="56"/>
      <c r="K2" s="56"/>
      <c r="L2" s="56"/>
    </row>
    <row r="3" spans="1:12" ht="15.75">
      <c r="A3" s="54"/>
      <c r="B3" s="49"/>
      <c r="C3" s="247"/>
      <c r="D3" s="52"/>
      <c r="E3" s="52"/>
      <c r="F3" s="52"/>
      <c r="G3" s="52"/>
      <c r="H3" s="98"/>
      <c r="I3" s="83"/>
      <c r="J3" s="56"/>
      <c r="K3" s="56"/>
      <c r="L3" s="56"/>
    </row>
    <row r="4" spans="1:12" ht="12.75">
      <c r="A4" s="54"/>
      <c r="B4" s="49"/>
      <c r="C4" s="40" t="s">
        <v>1115</v>
      </c>
      <c r="D4" s="310" t="s">
        <v>1163</v>
      </c>
      <c r="E4" s="230"/>
      <c r="F4" s="231"/>
      <c r="G4" s="52"/>
      <c r="H4" s="98"/>
      <c r="I4" s="83"/>
      <c r="J4" s="56"/>
      <c r="K4" s="56"/>
      <c r="L4" s="56"/>
    </row>
    <row r="5" spans="1:12" ht="12.75">
      <c r="A5" s="54"/>
      <c r="B5" s="49"/>
      <c r="C5" s="52"/>
      <c r="D5" s="52"/>
      <c r="E5" s="52"/>
      <c r="F5" s="52"/>
      <c r="G5" s="52"/>
      <c r="H5" s="98"/>
      <c r="I5" s="83"/>
      <c r="J5" s="56"/>
      <c r="K5" s="56"/>
      <c r="L5" s="56"/>
    </row>
    <row r="6" spans="1:12" ht="12.75">
      <c r="A6" s="54"/>
      <c r="B6" s="49"/>
      <c r="C6" s="205" t="s">
        <v>1117</v>
      </c>
      <c r="D6" s="207"/>
      <c r="E6" s="207"/>
      <c r="F6" s="208"/>
      <c r="G6" s="252"/>
      <c r="H6" s="141"/>
      <c r="I6" s="253"/>
      <c r="J6" s="127"/>
      <c r="K6" s="127"/>
      <c r="L6" s="127"/>
    </row>
    <row r="7" spans="1:12" ht="12.75">
      <c r="A7" s="54"/>
      <c r="B7" s="49"/>
      <c r="C7" s="177" t="s">
        <v>900</v>
      </c>
      <c r="D7" s="25">
        <v>12</v>
      </c>
      <c r="E7" s="220"/>
      <c r="F7" s="225"/>
      <c r="G7" s="52"/>
      <c r="H7" s="98"/>
      <c r="I7" s="83"/>
      <c r="J7" s="56"/>
      <c r="K7" s="56"/>
      <c r="L7" s="56"/>
    </row>
    <row r="8" spans="1:12" ht="12.75">
      <c r="A8" s="54"/>
      <c r="B8" s="49"/>
      <c r="C8" s="177" t="s">
        <v>1118</v>
      </c>
      <c r="D8" s="25">
        <v>0</v>
      </c>
      <c r="E8" s="222" t="str">
        <f>CHOOSE((D8+1),"Turret","Bay","Fixed","Parallel","Spinal")</f>
        <v>Turret</v>
      </c>
      <c r="F8" s="226"/>
      <c r="G8" s="52"/>
      <c r="H8" s="98"/>
      <c r="I8" s="83"/>
      <c r="J8" s="56"/>
      <c r="K8" s="56"/>
      <c r="L8" s="56"/>
    </row>
    <row r="9" spans="1:12" ht="12.75">
      <c r="A9" s="54"/>
      <c r="B9" s="49"/>
      <c r="C9" s="177" t="s">
        <v>1119</v>
      </c>
      <c r="D9" s="25">
        <v>2.6</v>
      </c>
      <c r="E9" s="27" t="str">
        <f>CHOOSE((D22+1)," ",IF(D9&gt;3.58,"Size violation"," "),IF(D9&gt;4.51,"Size Violation"," "),IF(D9&gt;7.6,"Size Violation"," "),IF(D9&gt;9.4,"Size Violation"," "))</f>
        <v> </v>
      </c>
      <c r="F9" s="226"/>
      <c r="G9" s="52"/>
      <c r="H9" s="98"/>
      <c r="I9" s="83"/>
      <c r="J9" s="56"/>
      <c r="K9" s="56"/>
      <c r="L9" s="56"/>
    </row>
    <row r="10" spans="1:12" ht="12.75">
      <c r="A10" s="54"/>
      <c r="B10" s="49"/>
      <c r="C10" s="177" t="s">
        <v>1120</v>
      </c>
      <c r="D10" s="30">
        <f>D33/F33</f>
        <v>0.25</v>
      </c>
      <c r="E10" s="27" t="str">
        <f>CHOOSE((D8+1),CHOOSE((D22+1),IF(D10&gt;Tables!F39,"Size Violation"," "),IF(D10&gt;4.18,"Size violation"," "),IF(D10&gt;5.26,"Size Violation"," "),IF(D10&gt;12,"Size Violation"," "),IF(D10&gt;16,"Size Violation"," ")),CHOOSE((((D22+1)-1)+1),IF(D10&gt;Tables!F39,"Size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 </v>
      </c>
      <c r="F10" s="226"/>
      <c r="G10" s="52"/>
      <c r="H10" s="98"/>
      <c r="I10" s="83"/>
      <c r="J10" s="56"/>
      <c r="K10" s="56"/>
      <c r="L10" s="56"/>
    </row>
    <row r="11" spans="1:12" ht="12.75">
      <c r="A11" s="54"/>
      <c r="B11" s="49"/>
      <c r="C11" s="177" t="s">
        <v>1121</v>
      </c>
      <c r="D11" s="25">
        <v>0</v>
      </c>
      <c r="E11" s="222" t="str">
        <f>IF(D11=1,IF(D7&lt;13,"Error: TL Violation","X-Ray"),"Tunable")</f>
        <v>Tunable</v>
      </c>
      <c r="F11" s="226"/>
      <c r="G11" s="52"/>
      <c r="H11" s="98"/>
      <c r="I11" s="83"/>
      <c r="J11" s="56"/>
      <c r="K11" s="56"/>
      <c r="L11" s="56"/>
    </row>
    <row r="12" spans="1:12" ht="12.75">
      <c r="A12" s="54"/>
      <c r="B12" s="49"/>
      <c r="C12" s="177" t="s">
        <v>1122</v>
      </c>
      <c r="D12" s="25">
        <v>250</v>
      </c>
      <c r="E12" s="27" t="str">
        <f>IF(D12&gt;(D7*50),"Error: TL Violation"," ")</f>
        <v> </v>
      </c>
      <c r="F12" s="226"/>
      <c r="G12" s="52"/>
      <c r="H12" s="98"/>
      <c r="I12" s="83"/>
      <c r="J12" s="56"/>
      <c r="K12" s="56"/>
      <c r="L12" s="56"/>
    </row>
    <row r="13" spans="1:12" ht="12.75">
      <c r="A13" s="54"/>
      <c r="B13" s="49"/>
      <c r="C13" s="276" t="s">
        <v>1123</v>
      </c>
      <c r="D13" s="281">
        <f>Tables!E287</f>
        <v>169000.00000000003</v>
      </c>
      <c r="E13" s="27"/>
      <c r="F13" s="226"/>
      <c r="G13" s="52"/>
      <c r="H13" s="98"/>
      <c r="I13" s="83"/>
      <c r="J13" s="56"/>
      <c r="K13" s="56"/>
      <c r="L13" s="56"/>
    </row>
    <row r="14" spans="1:12" ht="12.75">
      <c r="A14" s="54"/>
      <c r="B14" s="49"/>
      <c r="C14" s="276" t="s">
        <v>1124</v>
      </c>
      <c r="D14" s="25">
        <v>1</v>
      </c>
      <c r="E14" s="27" t="str">
        <f>CHOOSE((D14+1),"Short (30,000km)","Normal (150,000km)","Extreme (300,000km)")</f>
        <v>Normal (150,000km)</v>
      </c>
      <c r="F14" s="226"/>
      <c r="G14" s="52"/>
      <c r="H14" s="98"/>
      <c r="I14" s="83"/>
      <c r="J14" s="56"/>
      <c r="K14" s="56"/>
      <c r="L14" s="56"/>
    </row>
    <row r="15" spans="1:12" ht="12.75">
      <c r="A15" s="54"/>
      <c r="B15" s="49"/>
      <c r="C15" s="177" t="s">
        <v>1125</v>
      </c>
      <c r="D15" s="25">
        <v>1</v>
      </c>
      <c r="E15" s="222" t="str">
        <f>IF(D15=1,IF(D7&lt;9,"Error: TL Violation","Grav focused"),"Non-grav focused")</f>
        <v>Grav focused</v>
      </c>
      <c r="F15" s="228"/>
      <c r="G15" s="52"/>
      <c r="H15" s="98"/>
      <c r="I15" s="83"/>
      <c r="J15" s="56"/>
      <c r="K15" s="56"/>
      <c r="L15" s="56"/>
    </row>
    <row r="16" spans="1:12" ht="12.75">
      <c r="A16" s="54"/>
      <c r="B16" s="49"/>
      <c r="C16" s="177" t="s">
        <v>1126</v>
      </c>
      <c r="D16" s="25">
        <v>1</v>
      </c>
      <c r="E16" s="222" t="str">
        <f>IF(D16=0,"No","Yes")</f>
        <v>Yes</v>
      </c>
      <c r="F16" s="226"/>
      <c r="G16" s="52"/>
      <c r="H16" s="98"/>
      <c r="I16" s="83"/>
      <c r="J16" s="56"/>
      <c r="K16" s="56"/>
      <c r="L16" s="56"/>
    </row>
    <row r="17" spans="1:12" ht="12.75">
      <c r="A17" s="54"/>
      <c r="B17" s="49"/>
      <c r="C17" s="177" t="s">
        <v>1127</v>
      </c>
      <c r="D17" s="25">
        <v>1</v>
      </c>
      <c r="E17" s="222" t="str">
        <f>IF(D17=0,"No","Yes")</f>
        <v>Yes</v>
      </c>
      <c r="F17" s="226"/>
      <c r="G17" s="52"/>
      <c r="H17" s="98"/>
      <c r="I17" s="83"/>
      <c r="J17" s="56"/>
      <c r="K17" s="56"/>
      <c r="L17" s="56"/>
    </row>
    <row r="18" spans="1:12" ht="12.75">
      <c r="A18" s="54"/>
      <c r="B18" s="49"/>
      <c r="C18" s="177" t="s">
        <v>1128</v>
      </c>
      <c r="D18" s="25">
        <v>1</v>
      </c>
      <c r="E18" s="556"/>
      <c r="F18" s="557"/>
      <c r="G18" s="52"/>
      <c r="H18" s="98"/>
      <c r="I18" s="83"/>
      <c r="J18" s="56"/>
      <c r="K18" s="56"/>
      <c r="L18" s="56"/>
    </row>
    <row r="19" spans="1:12" ht="12.75">
      <c r="A19" s="54"/>
      <c r="B19" s="49"/>
      <c r="C19" s="177" t="s">
        <v>1129</v>
      </c>
      <c r="D19" s="25">
        <v>100</v>
      </c>
      <c r="E19" s="222">
        <f>IF(D19&gt;800,"Error: PD ROF limited to 800!","")</f>
      </c>
      <c r="F19" s="226"/>
      <c r="G19" s="52"/>
      <c r="H19" s="98"/>
      <c r="I19" s="83"/>
      <c r="J19" s="128"/>
      <c r="K19" s="56"/>
      <c r="L19" s="56"/>
    </row>
    <row r="20" spans="1:12" ht="12.75">
      <c r="A20" s="456"/>
      <c r="B20" s="457"/>
      <c r="C20" s="477" t="s">
        <v>1130</v>
      </c>
      <c r="D20" s="478">
        <v>0</v>
      </c>
      <c r="E20" s="222">
        <f>IF(D20&gt;800,"Error: PD ROF limited to 800!","")</f>
      </c>
      <c r="F20" s="226"/>
      <c r="G20" s="462"/>
      <c r="H20" s="463"/>
      <c r="I20" s="464"/>
      <c r="J20" s="459"/>
      <c r="K20" s="465"/>
      <c r="L20" s="465"/>
    </row>
    <row r="21" spans="1:12" ht="12.75">
      <c r="A21" s="54"/>
      <c r="B21" s="49"/>
      <c r="C21" s="298" t="s">
        <v>1131</v>
      </c>
      <c r="D21" s="295">
        <v>0</v>
      </c>
      <c r="E21" s="296"/>
      <c r="F21" s="297"/>
      <c r="G21" s="52"/>
      <c r="H21" s="98"/>
      <c r="I21" s="83"/>
      <c r="J21" s="128"/>
      <c r="K21" s="56"/>
      <c r="L21" s="56"/>
    </row>
    <row r="22" spans="1:12" ht="12.75">
      <c r="A22" s="54"/>
      <c r="B22" s="49"/>
      <c r="C22" s="179" t="s">
        <v>1132</v>
      </c>
      <c r="D22" s="31">
        <v>0</v>
      </c>
      <c r="E22" s="224" t="str">
        <f>CHOOSE((D22+1),"None","42m turret","84m turret","50std bay","100std bay")</f>
        <v>None</v>
      </c>
      <c r="F22" s="229"/>
      <c r="G22" s="52"/>
      <c r="H22" s="98"/>
      <c r="I22" s="83"/>
      <c r="J22" s="56"/>
      <c r="K22" s="56"/>
      <c r="L22" s="56"/>
    </row>
    <row r="23" spans="1:12" ht="12.75">
      <c r="A23" s="54"/>
      <c r="B23" s="49"/>
      <c r="C23" s="52"/>
      <c r="D23" s="52"/>
      <c r="E23" s="52"/>
      <c r="F23" s="52"/>
      <c r="G23" s="52"/>
      <c r="H23" s="98"/>
      <c r="I23" s="83"/>
      <c r="J23" s="56"/>
      <c r="K23" s="56"/>
      <c r="L23" s="56"/>
    </row>
    <row r="24" spans="1:12" ht="12.75">
      <c r="A24" s="54"/>
      <c r="B24" s="49"/>
      <c r="C24" s="205" t="s">
        <v>1133</v>
      </c>
      <c r="D24" s="495" t="s">
        <v>1134</v>
      </c>
      <c r="E24" s="207" t="s">
        <v>1135</v>
      </c>
      <c r="F24" s="208"/>
      <c r="G24" s="52"/>
      <c r="H24" s="98"/>
      <c r="I24" s="83"/>
      <c r="J24" s="56"/>
      <c r="K24" s="56"/>
      <c r="L24" s="56"/>
    </row>
    <row r="25" spans="1:12" ht="12.75">
      <c r="A25" s="456"/>
      <c r="B25" s="457"/>
      <c r="C25" s="254" t="s">
        <v>1137</v>
      </c>
      <c r="D25" s="467"/>
      <c r="E25" s="482">
        <f>IF($D$14=0,MIN($D$12,ROUND($D$12/((30000/Tables!$E$287)^2),3)),MIN($D$12,ROUND($D$12/(((30000*5)/Tables!$E$287)^2),3)))</f>
        <v>250</v>
      </c>
      <c r="F25" s="226"/>
      <c r="G25" s="462"/>
      <c r="H25" s="463"/>
      <c r="I25" s="464"/>
      <c r="J25" s="465"/>
      <c r="K25" s="465"/>
      <c r="L25" s="465"/>
    </row>
    <row r="26" spans="1:12" ht="12.75">
      <c r="A26" s="54"/>
      <c r="B26" s="49"/>
      <c r="C26" s="254" t="s">
        <v>1137</v>
      </c>
      <c r="D26" s="232">
        <f>MIN(D12,ROUND($D$12/((CHOOSE((D14+1),30000,300000,300000)/Tables!$E$287)^2),3))</f>
        <v>79.336</v>
      </c>
      <c r="E26" s="482">
        <f>IF($D$14=0,0,MIN($D$12,ROUND($D$12/(((30000*10)/Tables!$E$287)^2),3)))</f>
        <v>79.336</v>
      </c>
      <c r="F26" s="226"/>
      <c r="G26" s="52"/>
      <c r="H26" s="98"/>
      <c r="I26" s="83"/>
      <c r="J26" s="56"/>
      <c r="K26" s="56"/>
      <c r="L26" s="56"/>
    </row>
    <row r="27" spans="1:12" ht="12.75">
      <c r="A27" s="54"/>
      <c r="B27" s="49"/>
      <c r="C27" s="254" t="s">
        <v>1138</v>
      </c>
      <c r="D27" s="232">
        <f>MIN(D12,ROUND($D$12/(((CHOOSE((D14+1),30000,300000,300000)*2)/Tables!$E$287)^2),3))</f>
        <v>19.834</v>
      </c>
      <c r="E27" s="482">
        <f>IF($D$14=0,0,MIN($D$12,ROUND($D$12/(((30000*20)/Tables!$E$287)^2),3)))</f>
        <v>19.834</v>
      </c>
      <c r="F27" s="226"/>
      <c r="G27" s="52"/>
      <c r="H27" s="98"/>
      <c r="I27" s="83"/>
      <c r="J27" s="56"/>
      <c r="K27" s="56"/>
      <c r="L27" s="56"/>
    </row>
    <row r="28" spans="1:12" ht="12.75">
      <c r="A28" s="54"/>
      <c r="B28" s="49"/>
      <c r="C28" s="254" t="s">
        <v>1139</v>
      </c>
      <c r="D28" s="232">
        <f>MIN(D12,ROUND($D$12/(((CHOOSE((D14+1),30000,300000,300000)*4)/Tables!$E$287)^2),3))</f>
        <v>4.959</v>
      </c>
      <c r="E28" s="482">
        <f>IF($D$14=0,0,MIN($D$12,ROUND($D$12/(((30000*40)/Tables!$E$287)^2),3)))</f>
        <v>4.959</v>
      </c>
      <c r="F28" s="226"/>
      <c r="G28" s="52"/>
      <c r="H28" s="98"/>
      <c r="I28" s="83"/>
      <c r="J28" s="56"/>
      <c r="K28" s="56"/>
      <c r="L28" s="56"/>
    </row>
    <row r="29" spans="1:12" ht="12.75">
      <c r="A29" s="54"/>
      <c r="B29" s="49"/>
      <c r="C29" s="254" t="s">
        <v>1140</v>
      </c>
      <c r="D29" s="232">
        <f>MIN(D12,ROUND($D$12/(((CHOOSE((D14+1),30000,300000,300000)*8)/Tables!$E$287)^2),3))</f>
        <v>1.24</v>
      </c>
      <c r="E29" s="482">
        <f>IF($D$14=2,MIN($D$12,ROUND($D$12/(((30000*80)/Tables!$E$287)^2),3)),0)</f>
        <v>0</v>
      </c>
      <c r="F29" s="226"/>
      <c r="G29" s="52"/>
      <c r="H29" s="98"/>
      <c r="I29" s="83"/>
      <c r="J29" s="56"/>
      <c r="K29" s="56"/>
      <c r="L29" s="56"/>
    </row>
    <row r="30" spans="1:12" ht="12.75">
      <c r="A30" s="54"/>
      <c r="B30" s="49"/>
      <c r="C30" s="264" t="s">
        <v>1134</v>
      </c>
      <c r="D30" s="211" t="str">
        <f>CONCATENATE("(",IF(D17=0,"+0",CHOOSE((D7+1),"+0","+0","+0","+0","+0","+0","+0","+0","+0","+0","+3","+3","+4","+4","+5","+6","+6","+7","+7","+8","+8","+9")),") 1/",ROUND(Tables!F292,0),"-",ROUND(Tables!F293,0),"-",ROUND(Tables!F294,0),"-",ROUND(Tables!F295,0))</f>
        <v>(+4) 1/2-0-0-0</v>
      </c>
      <c r="E30" s="224" t="str">
        <f>CONCATENATE("(",IF(Tables!$E$301&gt;=0,"+",""),Tables!$E$301,IF(D17=0,"",CHOOSE((D7+1),"","","","","","","","","","",",+3",",+3",",+4",",+4",",+5",",+6",",+6",",+7",",+7",",+8",",+8",",+9")),") ",IF(Tables!$F$296=0,"",CONCATENATE(Tables!$H$296,":",Tables!$F$296))," ",IF(Tables!$F$297=0,"",CONCATENATE(Tables!$H$297,":",Tables!$F$297))," ",IF(Tables!$F$298=0,"",CONCATENATE(Tables!$H$298,":",Tables!$F$298))," ",IF(Tables!$F$299=0,"",CONCATENATE(Tables!$H$299,":",Tables!$F$299))," ",IF(Tables!$F$300=0,"",CONCATENATE(Tables!$H$300,":",Tables!$F$300))," PDR:",IF(Tables!$E$302&gt;=0,"+",""),Tables!$E$302)</f>
        <v>(+1,+4) 14:8 13:7 11:5 9:3  PDR:+1</v>
      </c>
      <c r="F30" s="229"/>
      <c r="G30" s="52"/>
      <c r="H30" s="98"/>
      <c r="I30" s="83"/>
      <c r="J30" s="56"/>
      <c r="K30" s="56"/>
      <c r="L30" s="56"/>
    </row>
    <row r="31" spans="1:12" ht="12.75">
      <c r="A31" s="54"/>
      <c r="B31" s="49"/>
      <c r="C31" s="52"/>
      <c r="D31" s="52"/>
      <c r="E31" s="52"/>
      <c r="F31" s="52"/>
      <c r="G31" s="52"/>
      <c r="H31" s="98"/>
      <c r="I31" s="83"/>
      <c r="J31" s="56"/>
      <c r="K31" s="56"/>
      <c r="L31" s="56"/>
    </row>
    <row r="32" spans="1:12" ht="12.75">
      <c r="A32" s="54"/>
      <c r="B32" s="49"/>
      <c r="C32" s="205" t="s">
        <v>1141</v>
      </c>
      <c r="D32" s="207" t="s">
        <v>910</v>
      </c>
      <c r="E32" s="207" t="s">
        <v>911</v>
      </c>
      <c r="F32" s="207" t="s">
        <v>912</v>
      </c>
      <c r="G32" s="207" t="s">
        <v>913</v>
      </c>
      <c r="H32" s="142" t="s">
        <v>1142</v>
      </c>
      <c r="I32" s="83"/>
      <c r="J32" s="56"/>
      <c r="K32" s="56"/>
      <c r="L32" s="56"/>
    </row>
    <row r="33" spans="1:12" ht="12.75">
      <c r="A33" s="54"/>
      <c r="B33" s="49"/>
      <c r="C33" s="177" t="s">
        <v>1143</v>
      </c>
      <c r="D33" s="18">
        <f>IF(AND(IF(D7&lt;13,TRUE(),FALSE()),IF(D11=1,TRUE(),FALSE())),#VALUE!,IF(AND(IF(D7&lt;9,TRUE(),FALSE()),IF(D15=1,TRUE(),FALSE())),#VALUE!,IF(D12&gt;D7*50,#VALUE!,D12*F33*CHOOSE((D7+1),0,0,0,0,0,0,1,1,0.1,0.01,0.01,0.001,0.001,0.001,0.001,0.0005,0.0005,0.0005,0.0005,0.0001,0.0001)*Tables!E288)))</f>
        <v>1.3273228961416876</v>
      </c>
      <c r="E33" s="18">
        <f>D33</f>
        <v>1.3273228961416876</v>
      </c>
      <c r="F33" s="18">
        <f>(PI()*D9^2)/4*D18</f>
        <v>5.3092915845667505</v>
      </c>
      <c r="G33" s="18">
        <f>D19*Tables!E285/1800*D18</f>
        <v>69.44444444444444</v>
      </c>
      <c r="H33" s="116">
        <f>CHOOSE((D8+1),0.2,0.2,0.1,0.1,0.1)*D33</f>
        <v>0.26546457922833755</v>
      </c>
      <c r="I33" s="83"/>
      <c r="J33" s="56"/>
      <c r="K33" s="56"/>
      <c r="L33" s="56"/>
    </row>
    <row r="34" spans="1:12" ht="12.75">
      <c r="A34" s="54"/>
      <c r="B34" s="49"/>
      <c r="C34" s="177" t="s">
        <v>961</v>
      </c>
      <c r="D34" s="19">
        <f>VLOOKUP(CHOOSE((D14+1),5,6,6),Tables!$D$119:$Z$125,(D7+1+1))*D18</f>
        <v>16.67</v>
      </c>
      <c r="E34" s="19">
        <f>D34</f>
        <v>16.67</v>
      </c>
      <c r="F34" s="148"/>
      <c r="G34" s="148"/>
      <c r="H34" s="120">
        <f>D34*0.1</f>
        <v>1.6670000000000003</v>
      </c>
      <c r="I34" s="83"/>
      <c r="J34" s="56"/>
      <c r="K34" s="56"/>
      <c r="L34" s="56"/>
    </row>
    <row r="35" spans="1:12" ht="12.75">
      <c r="A35" s="54"/>
      <c r="B35" s="49"/>
      <c r="C35" s="177" t="s">
        <v>954</v>
      </c>
      <c r="D35" s="18">
        <f>Tables!E285*CHOOSE((D7+1),0,0,0,0,0,0,0,0.25,0.125,0.1,0.08,0.06,0.05,0.045,0.04,0.035,0.03,0.025,0.02,0.015,0.01,0.005)*D18</f>
        <v>62.5</v>
      </c>
      <c r="E35" s="18">
        <f>D35*2</f>
        <v>125</v>
      </c>
      <c r="F35" s="148"/>
      <c r="G35" s="148"/>
      <c r="H35" s="116">
        <f>D35*0.01</f>
        <v>0.625</v>
      </c>
      <c r="I35" s="83"/>
      <c r="J35" s="56"/>
      <c r="K35" s="56"/>
      <c r="L35" s="56"/>
    </row>
    <row r="36" spans="1:12" ht="12.75">
      <c r="A36" s="456"/>
      <c r="B36" s="457"/>
      <c r="C36" s="484" t="s">
        <v>1144</v>
      </c>
      <c r="D36" s="460">
        <f>Tables!E289/CHOOSE(($D$7+1),0,0,0,0.04,0.06,0.08,0.1,0.2,0.4,0.8,1,1.5,2,2.5,3,3.5,4,6,8,10,12)</f>
        <v>0</v>
      </c>
      <c r="E36" s="460">
        <f>D36*CHOOSE((Las1!$D$7+1),0,0,0,0,2,2,2,2,2,2,2,2,2,2.5,2.5,2.5,2.5,2.5,3,4,5,6)</f>
        <v>0</v>
      </c>
      <c r="F36" s="148"/>
      <c r="G36" s="148"/>
      <c r="H36" s="461">
        <f>D36*CHOOSE((Las1!$D$7+1),0,0,0,0,0.001,0.001,0.0008,0.0008,0.001,0.002,0.003,0.004,0.005,0.008,0.01,0.015,0.02,0.025,0.03,0.04,0.05,0.1)*2</f>
        <v>0</v>
      </c>
      <c r="I36" s="464"/>
      <c r="J36" s="465"/>
      <c r="K36" s="465"/>
      <c r="L36" s="465"/>
    </row>
    <row r="37" spans="1:12" ht="12.75">
      <c r="A37" s="54"/>
      <c r="B37" s="49"/>
      <c r="C37" s="177" t="s">
        <v>1145</v>
      </c>
      <c r="D37" s="18">
        <f>IF(D16=0,0,7)</f>
        <v>7</v>
      </c>
      <c r="E37" s="18">
        <f>IF(D16=0,0,0.2)</f>
        <v>0.2</v>
      </c>
      <c r="F37" s="148"/>
      <c r="G37" s="148"/>
      <c r="H37" s="69">
        <f>CHOOSE((D7+1),0,0,0,0,0.0001,0.0002,0.0003,0.0005,0.00075,0.001,0.0015,0.0015,0.0015,0.002,0.002,0.002,0.002,0.0025,0.0025,0.0025,0.0025,0.003)*IF(D16=0,0,1)</f>
        <v>0.0015</v>
      </c>
      <c r="I37" s="83"/>
      <c r="J37" s="56"/>
      <c r="K37" s="56"/>
      <c r="L37" s="56"/>
    </row>
    <row r="38" spans="1:12" ht="12.75">
      <c r="A38" s="54"/>
      <c r="B38" s="49"/>
      <c r="C38" s="177" t="s">
        <v>1146</v>
      </c>
      <c r="D38" s="19">
        <f>IF(D17=0,0,VLOOKUP(CHOOSE((D14+1),5,6,6),Tables!$D$128:$Z$134,(D7+1+1)))</f>
        <v>33.33</v>
      </c>
      <c r="E38" s="19">
        <f>D38</f>
        <v>33.33</v>
      </c>
      <c r="F38" s="106"/>
      <c r="G38" s="19">
        <f>D38*0.01</f>
        <v>0.3333</v>
      </c>
      <c r="H38" s="120">
        <f>D38</f>
        <v>33.33</v>
      </c>
      <c r="I38" s="83"/>
      <c r="J38" s="56"/>
      <c r="K38" s="56"/>
      <c r="L38" s="56"/>
    </row>
    <row r="39" spans="1:12" ht="12.75">
      <c r="A39" s="54"/>
      <c r="B39" s="49"/>
      <c r="C39" s="276" t="s">
        <v>570</v>
      </c>
      <c r="D39" s="19">
        <f>Tables!E291*Tables!F291</f>
        <v>0</v>
      </c>
      <c r="E39" s="19">
        <f>D39*Tables!F10</f>
        <v>0</v>
      </c>
      <c r="F39" s="106"/>
      <c r="G39" s="19">
        <f>D39*Tables!F12</f>
        <v>0</v>
      </c>
      <c r="H39" s="120">
        <f>Tables!F11*D39</f>
        <v>0</v>
      </c>
      <c r="I39" s="83"/>
      <c r="J39" s="56"/>
      <c r="K39" s="56"/>
      <c r="L39" s="56"/>
    </row>
    <row r="40" spans="1:12" ht="12.75">
      <c r="A40" s="54"/>
      <c r="B40" s="49"/>
      <c r="C40" s="177" t="s">
        <v>1132</v>
      </c>
      <c r="D40" s="18">
        <f>IF(D22=0,0,CHOOSE((D22+1),0,42,84,700,1400)-SUM(D33:D39))</f>
        <v>0</v>
      </c>
      <c r="E40" s="237"/>
      <c r="F40" s="237"/>
      <c r="G40" s="148"/>
      <c r="H40" s="75"/>
      <c r="I40" s="83"/>
      <c r="J40" s="56"/>
      <c r="K40" s="56"/>
      <c r="L40" s="56"/>
    </row>
    <row r="41" spans="1:12" ht="12.75">
      <c r="A41" s="54"/>
      <c r="B41" s="49"/>
      <c r="C41" s="13" t="s">
        <v>341</v>
      </c>
      <c r="D41" s="105">
        <f>IF(D40&lt;0,#VALUE!,SUM(D33:D40))</f>
        <v>120.8273228961417</v>
      </c>
      <c r="E41" s="105">
        <f>SUM(E33:E40)</f>
        <v>176.5273228961417</v>
      </c>
      <c r="F41" s="105">
        <f>SUM(F33:F40)</f>
        <v>5.3092915845667505</v>
      </c>
      <c r="G41" s="105">
        <f>SUM(G33:G40)</f>
        <v>69.77774444444444</v>
      </c>
      <c r="H41" s="139">
        <f>SUM(H33:H40)</f>
        <v>35.888964579228336</v>
      </c>
      <c r="I41" s="83"/>
      <c r="J41" s="56"/>
      <c r="K41" s="56"/>
      <c r="L41" s="56"/>
    </row>
    <row r="42" spans="1:12" ht="12.75">
      <c r="A42" s="54"/>
      <c r="B42" s="49"/>
      <c r="C42" s="52"/>
      <c r="D42" s="255"/>
      <c r="E42" s="255"/>
      <c r="F42" s="255"/>
      <c r="G42" s="255"/>
      <c r="H42" s="98"/>
      <c r="I42" s="83"/>
      <c r="J42" s="56"/>
      <c r="K42" s="56"/>
      <c r="L42" s="56"/>
    </row>
    <row r="43" spans="1:12" ht="12.75">
      <c r="A43" s="54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</row>
    <row r="44" spans="1:12" ht="12.75">
      <c r="A44" s="54"/>
      <c r="B44" s="49"/>
      <c r="C44" s="254" t="s">
        <v>1148</v>
      </c>
      <c r="D44" s="37">
        <v>1</v>
      </c>
      <c r="E44" s="554"/>
      <c r="F44" s="555"/>
      <c r="G44" s="255"/>
      <c r="H44" s="98"/>
      <c r="I44" s="83"/>
      <c r="J44" s="56"/>
      <c r="K44" s="56"/>
      <c r="L44" s="56"/>
    </row>
    <row r="45" spans="1:12" ht="12.75">
      <c r="A45" s="54"/>
      <c r="B45" s="49"/>
      <c r="C45" s="177" t="s">
        <v>1149</v>
      </c>
      <c r="D45" s="30">
        <f>IF(D44&gt;1,1,0)</f>
        <v>0</v>
      </c>
      <c r="E45" s="554"/>
      <c r="F45" s="555"/>
      <c r="G45" s="255"/>
      <c r="H45" s="98"/>
      <c r="I45" s="83"/>
      <c r="J45" s="56"/>
      <c r="K45" s="56"/>
      <c r="L45" s="56"/>
    </row>
    <row r="46" spans="1:12" ht="12.75">
      <c r="A46" s="54"/>
      <c r="B46" s="49"/>
      <c r="C46" s="177" t="s">
        <v>1127</v>
      </c>
      <c r="D46" s="147">
        <f>IF(D44&gt;1,1,0)</f>
        <v>0</v>
      </c>
      <c r="E46" s="554"/>
      <c r="F46" s="555"/>
      <c r="G46" s="255"/>
      <c r="H46" s="98"/>
      <c r="I46" s="83"/>
      <c r="J46" s="56"/>
      <c r="K46" s="56"/>
      <c r="L46" s="56"/>
    </row>
    <row r="47" spans="1:12" ht="12.75">
      <c r="A47" s="54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</row>
    <row r="48" spans="1:12" ht="12.75">
      <c r="A48" s="54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</row>
    <row r="49" spans="1:12" ht="12.75">
      <c r="A49" s="456"/>
      <c r="B49" s="457"/>
      <c r="C49" s="484" t="s">
        <v>1134</v>
      </c>
      <c r="D49" s="485" t="str">
        <f>CONCATENATE("(",IF(D46+D17=0,"+0",CHOOSE((D7+1),"+0","+0","+0","+0","+0","+0","+0","+0","+0","+0","+3","+3","+4","+4","+5","+6","+6","+7","+7","+8","+8","+9")),") 1/",ROUND(Tables!G292,0),"-",ROUND(Tables!G293,0),"-",ROUND(Tables!G294,0),"-",ROUND(Tables!G295,0)," [",ROUND(D18*D44,0),",",ROUND(D19,0),"/",ROUND(Tables!E292,0),"-",ROUND(Tables!E293,0),"-",ROUND(Tables!E294,0),"-",ROUND(Tables!E295,0),"]"," ",CHOOSE(((D14+1-1)+1),"(SR","(LR","(LR"),IF(D21=0,"",CONCATENATE(" /Ar:",ROUND(VLOOKUP(D21/1.43,Tables!A2:B61,2)*10,0)," [",ROUND(D21,0),"]")),")")</f>
        <v>(+4) 1/2-0-0-0 [1,100/22-11-6-3] (LR)</v>
      </c>
      <c r="E49" s="493"/>
      <c r="F49" s="492"/>
      <c r="G49" s="462"/>
      <c r="H49" s="463"/>
      <c r="I49" s="464"/>
      <c r="J49" s="465"/>
      <c r="K49" s="465"/>
      <c r="L49" s="465"/>
    </row>
    <row r="50" spans="1:12" ht="12.75">
      <c r="A50" s="54"/>
      <c r="B50" s="49"/>
      <c r="C50" s="264" t="s">
        <v>1135</v>
      </c>
      <c r="D50" s="224" t="str">
        <f>CONCATENATE("(",IF(Tables!$E$301&gt;=0,"+",""),Tables!$E$301,IF(D17+D46=0,"",CHOOSE((D7+1),"","","","","","","","","","",",+3",",+3",",+4",",+4",",+5",",+6",",+6",",+7",",+7",",+8",",+8",",+9")),") ",IF(Tables!$F$296=0,"",CONCATENATE(Tables!$H$296,":",Tables!$G$296))," ",IF(Tables!$F$297=0,"",CONCATENATE(Tables!$H$297,":",Tables!$G$297))," ",IF(Tables!$F$298=0,"",CONCATENATE(Tables!$H$298,":",Tables!$G$298))," ",IF(Tables!$F$299=0,"",CONCATENATE(Tables!$H$299,":",Tables!$G$299))," ",IF(Tables!$F$300=0,"",CONCATENATE(Tables!$H$300,":",Tables!$G$300))," PDR:",IF(Tables!$E$302&gt;=0,"+",""),Tables!$E$303)</f>
        <v>(+1,+4) 14:8 13:7 11:5 9:3  PDR:+1</v>
      </c>
      <c r="E50" s="59"/>
      <c r="F50" s="214"/>
      <c r="G50" s="52"/>
      <c r="H50" s="98"/>
      <c r="I50" s="83"/>
      <c r="J50" s="56"/>
      <c r="K50" s="56"/>
      <c r="L50" s="56"/>
    </row>
    <row r="51" spans="1:12" ht="12.75">
      <c r="A51" s="54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</row>
    <row r="52" spans="1:12" ht="12.75">
      <c r="A52" s="54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</row>
    <row r="53" spans="1:12" ht="12.75">
      <c r="A53" s="54"/>
      <c r="B53" s="49"/>
      <c r="C53" s="177" t="s">
        <v>1146</v>
      </c>
      <c r="D53" s="19">
        <f>IF(D46=0,0,VLOOKUP(CHOOSE((D14+1),5,6,6),Tables!$D$128:$Z$134,(D7+1+1)))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</row>
    <row r="54" spans="1:12" ht="12.75">
      <c r="A54" s="54"/>
      <c r="B54" s="49"/>
      <c r="C54" s="177" t="s">
        <v>1152</v>
      </c>
      <c r="D54" s="19">
        <f>IF(D45=0,0,IF(Design!E230&gt;0,14,7))</f>
        <v>0</v>
      </c>
      <c r="E54" s="19">
        <f>IF(D45&gt;0,0.2,0)</f>
        <v>0</v>
      </c>
      <c r="F54" s="106"/>
      <c r="G54" s="106"/>
      <c r="H54" s="69">
        <f>CHOOSE((D7+1),0,0,0,0,0.0001,0.0002,0.0003,0.0005,0.00075,0.001,0.0015,0.0015,0.0015,0.002,0.002,0.002,0.002,0.0025,0.0025,0.0025,0.0025,0.003)*IF(D45=0,0,1)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</row>
    <row r="55" spans="1:12" ht="12.75">
      <c r="A55" s="54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</row>
    <row r="56" spans="1:12" ht="12.75">
      <c r="A56" s="54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</row>
    <row r="57" spans="1:12" ht="12.75">
      <c r="A57" s="54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</row>
    <row r="58" spans="1:12" ht="12.75">
      <c r="A58" s="54"/>
      <c r="B58" s="49"/>
      <c r="C58" s="260" t="s">
        <v>1154</v>
      </c>
      <c r="D58" s="144">
        <f>D55+D41*D44</f>
        <v>120.8273228961417</v>
      </c>
      <c r="E58" s="255"/>
      <c r="F58" s="255"/>
      <c r="G58" s="255"/>
      <c r="H58" s="98"/>
      <c r="I58" s="83"/>
      <c r="J58" s="56"/>
      <c r="K58" s="56"/>
      <c r="L58" s="56"/>
    </row>
    <row r="59" spans="1:12" ht="12.75">
      <c r="A59" s="54"/>
      <c r="B59" s="49"/>
      <c r="C59" s="260" t="s">
        <v>1155</v>
      </c>
      <c r="D59" s="144">
        <f>E55+(E41*D44)</f>
        <v>176.5273228961417</v>
      </c>
      <c r="E59" s="255"/>
      <c r="F59" s="255"/>
      <c r="G59" s="255"/>
      <c r="H59" s="98"/>
      <c r="I59" s="83"/>
      <c r="J59" s="56"/>
      <c r="K59" s="56"/>
      <c r="L59" s="56"/>
    </row>
    <row r="60" spans="1:12" ht="12.75">
      <c r="A60" s="54"/>
      <c r="B60" s="49"/>
      <c r="C60" s="260" t="s">
        <v>1156</v>
      </c>
      <c r="D60" s="144">
        <f>CHOOSE((D$8+1),CHOOSE((D$22+1),D$9^2,10,16,90,150),CHOOSE((D$22+1),D12*(D$33/F$33),0,0,90,150),D$9^2,D$9^2,D$9^2)*D44</f>
        <v>6.760000000000001</v>
      </c>
      <c r="E60" s="255"/>
      <c r="F60" s="255"/>
      <c r="G60" s="255"/>
      <c r="H60" s="98"/>
      <c r="I60" s="83"/>
      <c r="J60" s="56"/>
      <c r="K60" s="56"/>
      <c r="L60" s="56"/>
    </row>
    <row r="61" spans="1:12" ht="12.75">
      <c r="A61" s="54"/>
      <c r="B61" s="49"/>
      <c r="C61" s="260" t="s">
        <v>1157</v>
      </c>
      <c r="D61" s="144">
        <f>G55+(G41*D44)</f>
        <v>69.77774444444444</v>
      </c>
      <c r="E61" s="255"/>
      <c r="F61" s="255"/>
      <c r="G61" s="255"/>
      <c r="H61" s="98"/>
      <c r="I61" s="83"/>
      <c r="J61" s="56"/>
      <c r="K61" s="56"/>
      <c r="L61" s="56"/>
    </row>
    <row r="62" spans="1:12" ht="12.75">
      <c r="A62" s="54"/>
      <c r="B62" s="49"/>
      <c r="C62" s="260" t="s">
        <v>1158</v>
      </c>
      <c r="D62" s="116">
        <f>H55+(H41*D44)</f>
        <v>35.888964579228336</v>
      </c>
      <c r="E62" s="255"/>
      <c r="F62" s="255"/>
      <c r="G62" s="255"/>
      <c r="H62" s="98"/>
      <c r="I62" s="83"/>
      <c r="J62" s="56"/>
      <c r="K62" s="56"/>
      <c r="L62" s="56"/>
    </row>
    <row r="63" spans="1:12" ht="12.75">
      <c r="A63" s="54"/>
      <c r="B63" s="49"/>
      <c r="C63" s="261" t="s">
        <v>1159</v>
      </c>
      <c r="D63" s="146">
        <v>1</v>
      </c>
      <c r="E63" s="255"/>
      <c r="F63" s="255"/>
      <c r="G63" s="255"/>
      <c r="H63" s="98"/>
      <c r="I63" s="83"/>
      <c r="J63" s="56"/>
      <c r="K63" s="56"/>
      <c r="L63" s="56"/>
    </row>
    <row r="64" spans="1:12" ht="12.75">
      <c r="A64" s="54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</row>
    <row r="65" spans="1:12" ht="12.75">
      <c r="A65" s="54"/>
      <c r="B65" s="54"/>
      <c r="C65" s="56"/>
      <c r="D65" s="56"/>
      <c r="E65" s="56"/>
      <c r="F65" s="56"/>
      <c r="G65" s="56"/>
      <c r="H65" s="244"/>
      <c r="I65" s="56"/>
      <c r="J65" s="56"/>
      <c r="K65" s="56"/>
      <c r="L65" s="56"/>
    </row>
    <row r="66" spans="1:12" ht="12.75">
      <c r="A66" s="54"/>
      <c r="B66" s="54"/>
      <c r="C66" s="56"/>
      <c r="D66" s="56"/>
      <c r="E66" s="56"/>
      <c r="F66" s="56"/>
      <c r="G66" s="56"/>
      <c r="H66" s="244"/>
      <c r="I66" s="56"/>
      <c r="J66" s="56"/>
      <c r="K66" s="56"/>
      <c r="L66" s="56"/>
    </row>
    <row r="67" spans="1:12" ht="12.75">
      <c r="A67" s="54"/>
      <c r="B67" s="54"/>
      <c r="C67" s="56"/>
      <c r="D67" s="56"/>
      <c r="E67" s="56"/>
      <c r="F67" s="56"/>
      <c r="G67" s="56"/>
      <c r="H67" s="244"/>
      <c r="I67" s="56"/>
      <c r="J67" s="56"/>
      <c r="K67" s="56"/>
      <c r="L67" s="56"/>
    </row>
    <row r="68" spans="1:12" ht="12.75">
      <c r="A68" s="54"/>
      <c r="B68" s="54"/>
      <c r="C68" s="56"/>
      <c r="D68" s="56"/>
      <c r="E68" s="56"/>
      <c r="F68" s="56"/>
      <c r="G68" s="56"/>
      <c r="H68" s="244"/>
      <c r="I68" s="56"/>
      <c r="J68" s="56"/>
      <c r="K68" s="56"/>
      <c r="L68" s="56"/>
    </row>
    <row r="69" spans="1:12" ht="12.75">
      <c r="A69" s="54"/>
      <c r="B69" s="54"/>
      <c r="C69" s="56"/>
      <c r="D69" s="56"/>
      <c r="E69" s="56"/>
      <c r="F69" s="56"/>
      <c r="G69" s="56"/>
      <c r="H69" s="244"/>
      <c r="I69" s="56"/>
      <c r="J69" s="56"/>
      <c r="K69" s="56"/>
      <c r="L69" s="56"/>
    </row>
    <row r="70" spans="1:12" ht="12.75">
      <c r="A70" s="54"/>
      <c r="B70" s="54"/>
      <c r="C70" s="56"/>
      <c r="D70" s="56"/>
      <c r="E70" s="56"/>
      <c r="F70" s="56"/>
      <c r="G70" s="56"/>
      <c r="H70" s="244"/>
      <c r="I70" s="56"/>
      <c r="J70" s="56"/>
      <c r="K70" s="56"/>
      <c r="L70" s="56"/>
    </row>
    <row r="71" spans="1:12" ht="12.75">
      <c r="A71" s="54"/>
      <c r="B71" s="54"/>
      <c r="C71" s="56"/>
      <c r="D71" s="56"/>
      <c r="E71" s="56"/>
      <c r="F71" s="56"/>
      <c r="G71" s="56"/>
      <c r="H71" s="244"/>
      <c r="I71" s="56"/>
      <c r="J71" s="56"/>
      <c r="K71" s="56"/>
      <c r="L71" s="56"/>
    </row>
    <row r="72" spans="1:12" ht="12.75">
      <c r="A72" s="54"/>
      <c r="B72" s="54"/>
      <c r="C72" s="56"/>
      <c r="D72" s="56"/>
      <c r="E72" s="56"/>
      <c r="F72" s="56"/>
      <c r="G72" s="56"/>
      <c r="H72" s="244"/>
      <c r="I72" s="56"/>
      <c r="J72" s="56"/>
      <c r="K72" s="56"/>
      <c r="L72" s="56"/>
    </row>
    <row r="73" spans="1:12" ht="12.75">
      <c r="A73" s="54"/>
      <c r="B73" s="54"/>
      <c r="C73" s="56"/>
      <c r="D73" s="56"/>
      <c r="E73" s="56"/>
      <c r="F73" s="56"/>
      <c r="G73" s="56"/>
      <c r="H73" s="244"/>
      <c r="I73" s="56"/>
      <c r="J73" s="56"/>
      <c r="K73" s="56"/>
      <c r="L73" s="56"/>
    </row>
    <row r="74" spans="1:12" ht="12.75">
      <c r="A74" s="54"/>
      <c r="B74" s="54"/>
      <c r="C74" s="56"/>
      <c r="D74" s="56"/>
      <c r="E74" s="56"/>
      <c r="F74" s="56"/>
      <c r="G74" s="56"/>
      <c r="H74" s="244"/>
      <c r="I74" s="56"/>
      <c r="J74" s="56"/>
      <c r="K74" s="56"/>
      <c r="L74" s="56"/>
    </row>
    <row r="75" spans="1:12" ht="12.75">
      <c r="A75" s="54"/>
      <c r="B75" s="54"/>
      <c r="C75" s="56"/>
      <c r="D75" s="56"/>
      <c r="E75" s="56"/>
      <c r="F75" s="56"/>
      <c r="G75" s="56"/>
      <c r="H75" s="244"/>
      <c r="I75" s="56"/>
      <c r="J75" s="56"/>
      <c r="K75" s="56"/>
      <c r="L75" s="56"/>
    </row>
    <row r="76" spans="1:12" ht="12.75">
      <c r="A76" s="54"/>
      <c r="B76" s="54"/>
      <c r="C76" s="56"/>
      <c r="D76" s="56"/>
      <c r="E76" s="56"/>
      <c r="F76" s="56"/>
      <c r="G76" s="56"/>
      <c r="H76" s="244"/>
      <c r="I76" s="56"/>
      <c r="J76" s="56"/>
      <c r="K76" s="56"/>
      <c r="L76" s="56"/>
    </row>
    <row r="77" spans="1:12" ht="12.75">
      <c r="A77" s="54"/>
      <c r="B77" s="54"/>
      <c r="C77" s="56"/>
      <c r="D77" s="56"/>
      <c r="E77" s="56"/>
      <c r="F77" s="56"/>
      <c r="G77" s="56"/>
      <c r="H77" s="244"/>
      <c r="I77" s="56"/>
      <c r="J77" s="56"/>
      <c r="K77" s="56"/>
      <c r="L77" s="56"/>
    </row>
    <row r="78" spans="1:12" ht="12.75">
      <c r="A78" s="54"/>
      <c r="B78" s="54"/>
      <c r="C78" s="56"/>
      <c r="D78" s="56"/>
      <c r="E78" s="56"/>
      <c r="F78" s="56"/>
      <c r="G78" s="56"/>
      <c r="H78" s="244"/>
      <c r="I78" s="56"/>
      <c r="J78" s="56"/>
      <c r="K78" s="56"/>
      <c r="L78" s="56"/>
    </row>
    <row r="79" spans="1:12" ht="12.75">
      <c r="A79" s="54"/>
      <c r="B79" s="54"/>
      <c r="C79" s="56"/>
      <c r="D79" s="56"/>
      <c r="E79" s="56"/>
      <c r="F79" s="56"/>
      <c r="G79" s="56"/>
      <c r="H79" s="244"/>
      <c r="I79" s="56"/>
      <c r="J79" s="56"/>
      <c r="K79" s="56"/>
      <c r="L79" s="56"/>
    </row>
    <row r="80" spans="1:12" ht="12.75">
      <c r="A80" s="54"/>
      <c r="B80" s="54"/>
      <c r="C80" s="56"/>
      <c r="D80" s="56"/>
      <c r="E80" s="56"/>
      <c r="F80" s="56"/>
      <c r="G80" s="56"/>
      <c r="H80" s="244"/>
      <c r="I80" s="56"/>
      <c r="J80" s="56"/>
      <c r="K80" s="56"/>
      <c r="L80" s="56"/>
    </row>
    <row r="81" spans="1:12" ht="12.75">
      <c r="A81" s="54"/>
      <c r="B81" s="54"/>
      <c r="C81" s="56"/>
      <c r="D81" s="56"/>
      <c r="E81" s="56"/>
      <c r="F81" s="56"/>
      <c r="G81" s="56"/>
      <c r="H81" s="244"/>
      <c r="I81" s="56"/>
      <c r="J81" s="56"/>
      <c r="K81" s="56"/>
      <c r="L81" s="56"/>
    </row>
    <row r="82" spans="1:12" ht="12.75">
      <c r="A82" s="54"/>
      <c r="B82" s="54"/>
      <c r="C82" s="56"/>
      <c r="D82" s="56"/>
      <c r="E82" s="56"/>
      <c r="F82" s="56"/>
      <c r="G82" s="56"/>
      <c r="H82" s="244"/>
      <c r="I82" s="56"/>
      <c r="J82" s="56"/>
      <c r="K82" s="56"/>
      <c r="L82" s="56"/>
    </row>
    <row r="83" spans="1:12" ht="12.75">
      <c r="A83" s="54"/>
      <c r="B83" s="54"/>
      <c r="C83" s="56"/>
      <c r="D83" s="56"/>
      <c r="E83" s="56"/>
      <c r="F83" s="56"/>
      <c r="G83" s="56"/>
      <c r="H83" s="244"/>
      <c r="I83" s="56"/>
      <c r="J83" s="56"/>
      <c r="K83" s="56"/>
      <c r="L83" s="56"/>
    </row>
    <row r="84" spans="1:12" ht="12.75">
      <c r="A84" s="54"/>
      <c r="B84" s="54"/>
      <c r="C84" s="56"/>
      <c r="D84" s="56"/>
      <c r="E84" s="56"/>
      <c r="F84" s="56"/>
      <c r="G84" s="56"/>
      <c r="H84" s="244"/>
      <c r="I84" s="56"/>
      <c r="J84" s="56"/>
      <c r="K84" s="56"/>
      <c r="L84" s="56"/>
    </row>
    <row r="85" spans="1:12" ht="12.75">
      <c r="A85" s="54"/>
      <c r="B85" s="54"/>
      <c r="C85" s="56"/>
      <c r="D85" s="56"/>
      <c r="E85" s="56"/>
      <c r="F85" s="56"/>
      <c r="G85" s="56"/>
      <c r="H85" s="244"/>
      <c r="I85" s="56"/>
      <c r="J85" s="56"/>
      <c r="K85" s="56"/>
      <c r="L85" s="56"/>
    </row>
    <row r="86" spans="1:12" ht="12.75">
      <c r="A86" s="54"/>
      <c r="B86" s="54"/>
      <c r="C86" s="56"/>
      <c r="D86" s="56"/>
      <c r="E86" s="56"/>
      <c r="F86" s="56"/>
      <c r="G86" s="56"/>
      <c r="H86" s="244"/>
      <c r="I86" s="56"/>
      <c r="J86" s="56"/>
      <c r="K86" s="56"/>
      <c r="L86" s="56"/>
    </row>
    <row r="87" spans="1:12" ht="12.75">
      <c r="A87" s="54"/>
      <c r="B87" s="54"/>
      <c r="C87" s="56"/>
      <c r="D87" s="56"/>
      <c r="E87" s="56"/>
      <c r="F87" s="56"/>
      <c r="G87" s="56"/>
      <c r="H87" s="244"/>
      <c r="I87" s="56"/>
      <c r="J87" s="56"/>
      <c r="K87" s="56"/>
      <c r="L87" s="56"/>
    </row>
    <row r="88" spans="1:12" ht="12.75">
      <c r="A88" s="54"/>
      <c r="B88" s="54"/>
      <c r="C88" s="56"/>
      <c r="D88" s="56"/>
      <c r="E88" s="56"/>
      <c r="F88" s="56"/>
      <c r="G88" s="56"/>
      <c r="H88" s="244"/>
      <c r="I88" s="56"/>
      <c r="J88" s="56"/>
      <c r="K88" s="56"/>
      <c r="L88" s="56"/>
    </row>
    <row r="89" spans="1:12" ht="12.75">
      <c r="A89" s="54"/>
      <c r="B89" s="54"/>
      <c r="C89" s="56"/>
      <c r="D89" s="56"/>
      <c r="E89" s="56"/>
      <c r="F89" s="56"/>
      <c r="G89" s="56"/>
      <c r="H89" s="244"/>
      <c r="I89" s="56"/>
      <c r="J89" s="56"/>
      <c r="K89" s="56"/>
      <c r="L89" s="56"/>
    </row>
    <row r="90" spans="1:12" ht="12.75">
      <c r="A90" s="54"/>
      <c r="B90" s="54"/>
      <c r="C90" s="56"/>
      <c r="D90" s="56"/>
      <c r="E90" s="56"/>
      <c r="F90" s="56"/>
      <c r="G90" s="56"/>
      <c r="H90" s="244"/>
      <c r="I90" s="56"/>
      <c r="J90" s="56"/>
      <c r="K90" s="56"/>
      <c r="L90" s="56"/>
    </row>
    <row r="91" spans="1:12" ht="12.75">
      <c r="A91" s="54"/>
      <c r="B91" s="54"/>
      <c r="C91" s="56"/>
      <c r="D91" s="56"/>
      <c r="E91" s="56"/>
      <c r="F91" s="56"/>
      <c r="G91" s="56"/>
      <c r="H91" s="244"/>
      <c r="I91" s="56"/>
      <c r="J91" s="56"/>
      <c r="K91" s="56"/>
      <c r="L91" s="56"/>
    </row>
    <row r="92" spans="1:12" ht="12.75">
      <c r="A92" s="54"/>
      <c r="B92" s="54"/>
      <c r="C92" s="56"/>
      <c r="D92" s="56"/>
      <c r="E92" s="56"/>
      <c r="F92" s="56"/>
      <c r="G92" s="56"/>
      <c r="H92" s="244"/>
      <c r="I92" s="56"/>
      <c r="J92" s="56"/>
      <c r="K92" s="56"/>
      <c r="L92" s="56"/>
    </row>
    <row r="93" spans="1:12" ht="12.75">
      <c r="A93" s="54"/>
      <c r="B93" s="54"/>
      <c r="C93" s="56"/>
      <c r="D93" s="56"/>
      <c r="E93" s="56"/>
      <c r="F93" s="56"/>
      <c r="G93" s="56"/>
      <c r="H93" s="244"/>
      <c r="I93" s="56"/>
      <c r="J93" s="56"/>
      <c r="K93" s="56"/>
      <c r="L93" s="56"/>
    </row>
    <row r="94" spans="1:12" ht="12.75">
      <c r="A94" s="54"/>
      <c r="B94" s="54"/>
      <c r="C94" s="56"/>
      <c r="D94" s="56"/>
      <c r="E94" s="56"/>
      <c r="F94" s="56"/>
      <c r="G94" s="56"/>
      <c r="H94" s="244"/>
      <c r="I94" s="56"/>
      <c r="J94" s="56"/>
      <c r="K94" s="56"/>
      <c r="L94" s="56"/>
    </row>
    <row r="95" spans="1:12" ht="12.75">
      <c r="A95" s="54"/>
      <c r="B95" s="54"/>
      <c r="C95" s="56"/>
      <c r="D95" s="56"/>
      <c r="E95" s="56"/>
      <c r="F95" s="56"/>
      <c r="G95" s="56"/>
      <c r="H95" s="244"/>
      <c r="I95" s="56"/>
      <c r="J95" s="56"/>
      <c r="K95" s="56"/>
      <c r="L95" s="56"/>
    </row>
    <row r="96" spans="1:12" ht="12.75">
      <c r="A96" s="54"/>
      <c r="B96" s="54"/>
      <c r="C96" s="56"/>
      <c r="D96" s="56"/>
      <c r="E96" s="56"/>
      <c r="F96" s="56"/>
      <c r="G96" s="56"/>
      <c r="H96" s="244"/>
      <c r="I96" s="56"/>
      <c r="J96" s="56"/>
      <c r="K96" s="56"/>
      <c r="L96" s="56"/>
    </row>
    <row r="97" spans="1:12" ht="12.75">
      <c r="A97" s="54"/>
      <c r="B97" s="54"/>
      <c r="C97" s="56"/>
      <c r="D97" s="56"/>
      <c r="E97" s="56"/>
      <c r="F97" s="56"/>
      <c r="G97" s="56"/>
      <c r="H97" s="244"/>
      <c r="I97" s="56"/>
      <c r="J97" s="56"/>
      <c r="K97" s="56"/>
      <c r="L97" s="56"/>
    </row>
    <row r="98" spans="1:12" ht="12.75">
      <c r="A98" s="54"/>
      <c r="B98" s="54"/>
      <c r="C98" s="56"/>
      <c r="D98" s="56"/>
      <c r="E98" s="56"/>
      <c r="F98" s="56"/>
      <c r="G98" s="56"/>
      <c r="H98" s="244"/>
      <c r="I98" s="56"/>
      <c r="J98" s="56"/>
      <c r="K98" s="56"/>
      <c r="L98" s="56"/>
    </row>
    <row r="99" spans="1:12" ht="12.75">
      <c r="A99" s="54"/>
      <c r="B99" s="54"/>
      <c r="C99" s="56"/>
      <c r="D99" s="56"/>
      <c r="E99" s="56"/>
      <c r="F99" s="56"/>
      <c r="G99" s="56"/>
      <c r="H99" s="244"/>
      <c r="I99" s="56"/>
      <c r="J99" s="56"/>
      <c r="K99" s="56"/>
      <c r="L99" s="56"/>
    </row>
    <row r="100" spans="1:12" ht="12.75">
      <c r="A100" s="54"/>
      <c r="B100" s="54"/>
      <c r="C100" s="56"/>
      <c r="D100" s="56"/>
      <c r="E100" s="56"/>
      <c r="F100" s="56"/>
      <c r="G100" s="56"/>
      <c r="H100" s="244"/>
      <c r="I100" s="56"/>
      <c r="J100" s="56"/>
      <c r="K100" s="56"/>
      <c r="L100" s="56"/>
    </row>
    <row r="101" spans="1:12" ht="12.75">
      <c r="A101" s="54"/>
      <c r="B101" s="54"/>
      <c r="C101" s="56"/>
      <c r="D101" s="56"/>
      <c r="E101" s="56"/>
      <c r="F101" s="56"/>
      <c r="G101" s="56"/>
      <c r="H101" s="244"/>
      <c r="I101" s="56"/>
      <c r="J101" s="56"/>
      <c r="K101" s="56"/>
      <c r="L101" s="56"/>
    </row>
    <row r="102" spans="1:12" ht="12.75">
      <c r="A102" s="54"/>
      <c r="B102" s="54"/>
      <c r="C102" s="56"/>
      <c r="D102" s="56"/>
      <c r="E102" s="56"/>
      <c r="F102" s="56"/>
      <c r="G102" s="56"/>
      <c r="H102" s="244"/>
      <c r="I102" s="56"/>
      <c r="J102" s="56"/>
      <c r="K102" s="56"/>
      <c r="L102" s="56"/>
    </row>
    <row r="103" spans="1:12" ht="12.75">
      <c r="A103" s="54"/>
      <c r="B103" s="54"/>
      <c r="C103" s="56"/>
      <c r="D103" s="56"/>
      <c r="E103" s="56"/>
      <c r="F103" s="56"/>
      <c r="G103" s="56"/>
      <c r="H103" s="244"/>
      <c r="I103" s="56"/>
      <c r="J103" s="56"/>
      <c r="K103" s="56"/>
      <c r="L103" s="56"/>
    </row>
    <row r="104" spans="1:12" ht="12.75">
      <c r="A104" s="54"/>
      <c r="B104" s="54"/>
      <c r="C104" s="56"/>
      <c r="D104" s="56"/>
      <c r="E104" s="56"/>
      <c r="F104" s="56"/>
      <c r="G104" s="56"/>
      <c r="H104" s="244"/>
      <c r="I104" s="56"/>
      <c r="J104" s="56"/>
      <c r="K104" s="56"/>
      <c r="L104" s="56"/>
    </row>
    <row r="105" spans="1:12" ht="12.75">
      <c r="A105" s="54"/>
      <c r="B105" s="54"/>
      <c r="C105" s="56"/>
      <c r="D105" s="56"/>
      <c r="E105" s="56"/>
      <c r="F105" s="56"/>
      <c r="G105" s="56"/>
      <c r="H105" s="244"/>
      <c r="I105" s="56"/>
      <c r="J105" s="56"/>
      <c r="K105" s="56"/>
      <c r="L105" s="56"/>
    </row>
    <row r="106" spans="1:12" ht="12.75">
      <c r="A106" s="54"/>
      <c r="B106" s="54"/>
      <c r="C106" s="56"/>
      <c r="D106" s="56"/>
      <c r="E106" s="56"/>
      <c r="F106" s="56"/>
      <c r="G106" s="56"/>
      <c r="H106" s="244"/>
      <c r="I106" s="56"/>
      <c r="J106" s="56"/>
      <c r="K106" s="56"/>
      <c r="L106" s="56"/>
    </row>
    <row r="107" spans="1:12" ht="12.75">
      <c r="A107" s="54"/>
      <c r="B107" s="54"/>
      <c r="C107" s="56"/>
      <c r="D107" s="56"/>
      <c r="E107" s="56"/>
      <c r="F107" s="56"/>
      <c r="G107" s="56"/>
      <c r="H107" s="244"/>
      <c r="I107" s="56"/>
      <c r="J107" s="56"/>
      <c r="K107" s="56"/>
      <c r="L107" s="56"/>
    </row>
    <row r="108" spans="1:12" ht="12.75">
      <c r="A108" s="54"/>
      <c r="B108" s="54"/>
      <c r="C108" s="56"/>
      <c r="D108" s="56"/>
      <c r="E108" s="56"/>
      <c r="F108" s="56"/>
      <c r="G108" s="56"/>
      <c r="H108" s="244"/>
      <c r="I108" s="56"/>
      <c r="J108" s="56"/>
      <c r="K108" s="56"/>
      <c r="L108" s="56"/>
    </row>
    <row r="109" spans="1:12" ht="12.75">
      <c r="A109" s="54"/>
      <c r="B109" s="54"/>
      <c r="C109" s="56"/>
      <c r="D109" s="56"/>
      <c r="E109" s="56"/>
      <c r="F109" s="56"/>
      <c r="G109" s="56"/>
      <c r="H109" s="244"/>
      <c r="I109" s="56"/>
      <c r="J109" s="56"/>
      <c r="K109" s="56"/>
      <c r="L109" s="56"/>
    </row>
    <row r="110" spans="1:12" ht="12.75">
      <c r="A110" s="54"/>
      <c r="B110" s="54"/>
      <c r="C110" s="56"/>
      <c r="D110" s="56"/>
      <c r="E110" s="56"/>
      <c r="F110" s="56"/>
      <c r="G110" s="56"/>
      <c r="H110" s="244"/>
      <c r="I110" s="56"/>
      <c r="J110" s="56"/>
      <c r="K110" s="56"/>
      <c r="L110" s="56"/>
    </row>
    <row r="111" spans="1:12" ht="12.75">
      <c r="A111" s="54"/>
      <c r="B111" s="54"/>
      <c r="C111" s="56"/>
      <c r="D111" s="56"/>
      <c r="E111" s="56"/>
      <c r="F111" s="56"/>
      <c r="G111" s="56"/>
      <c r="H111" s="244"/>
      <c r="I111" s="56"/>
      <c r="J111" s="56"/>
      <c r="K111" s="56"/>
      <c r="L111" s="56"/>
    </row>
    <row r="112" spans="1:12" ht="12.75">
      <c r="A112" s="54"/>
      <c r="B112" s="54"/>
      <c r="C112" s="56"/>
      <c r="D112" s="56"/>
      <c r="E112" s="56"/>
      <c r="F112" s="56"/>
      <c r="G112" s="56"/>
      <c r="H112" s="244"/>
      <c r="I112" s="56"/>
      <c r="J112" s="56"/>
      <c r="K112" s="56"/>
      <c r="L112" s="56"/>
    </row>
    <row r="113" spans="1:12" ht="12.75">
      <c r="A113" s="54"/>
      <c r="B113" s="54"/>
      <c r="C113" s="56"/>
      <c r="D113" s="56"/>
      <c r="E113" s="56"/>
      <c r="F113" s="56"/>
      <c r="G113" s="56"/>
      <c r="H113" s="244"/>
      <c r="I113" s="56"/>
      <c r="J113" s="56"/>
      <c r="K113" s="56"/>
      <c r="L113" s="56"/>
    </row>
    <row r="114" spans="1:12" ht="12.75">
      <c r="A114" s="54"/>
      <c r="B114" s="54"/>
      <c r="C114" s="56"/>
      <c r="D114" s="56"/>
      <c r="E114" s="56"/>
      <c r="F114" s="56"/>
      <c r="G114" s="56"/>
      <c r="H114" s="244"/>
      <c r="I114" s="56"/>
      <c r="J114" s="56"/>
      <c r="K114" s="56"/>
      <c r="L114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11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14.421875" style="0" customWidth="1"/>
    <col min="8" max="8" width="12.7109375" style="149" customWidth="1"/>
    <col min="9" max="9" width="1.1484375" style="0" customWidth="1"/>
    <col min="10" max="10" width="70.7109375" style="0" customWidth="1"/>
  </cols>
  <sheetData>
    <row r="1" spans="1:12" ht="12.75">
      <c r="A1" s="54"/>
      <c r="B1" s="54"/>
      <c r="C1" s="56"/>
      <c r="D1" s="56"/>
      <c r="E1" s="56"/>
      <c r="F1" s="56"/>
      <c r="G1" s="56"/>
      <c r="H1" s="244"/>
      <c r="I1" s="56"/>
      <c r="J1" s="56"/>
      <c r="K1" s="56"/>
      <c r="L1" s="56"/>
    </row>
    <row r="2" spans="1:12" ht="15.75">
      <c r="A2" s="54"/>
      <c r="B2" s="245"/>
      <c r="C2" s="246" t="s">
        <v>1164</v>
      </c>
      <c r="D2" s="248"/>
      <c r="E2" s="248"/>
      <c r="F2" s="248"/>
      <c r="G2" s="248"/>
      <c r="H2" s="140"/>
      <c r="I2" s="251"/>
      <c r="J2" s="56"/>
      <c r="K2" s="56"/>
      <c r="L2" s="56"/>
    </row>
    <row r="3" spans="1:12" ht="15.75">
      <c r="A3" s="54"/>
      <c r="B3" s="49"/>
      <c r="C3" s="247"/>
      <c r="D3" s="52"/>
      <c r="E3" s="52"/>
      <c r="F3" s="52"/>
      <c r="G3" s="52"/>
      <c r="H3" s="98"/>
      <c r="I3" s="83"/>
      <c r="J3" s="56"/>
      <c r="K3" s="56"/>
      <c r="L3" s="56"/>
    </row>
    <row r="4" spans="1:12" ht="12.75">
      <c r="A4" s="54"/>
      <c r="B4" s="49"/>
      <c r="C4" s="40" t="s">
        <v>1115</v>
      </c>
      <c r="D4" s="310" t="s">
        <v>1165</v>
      </c>
      <c r="E4" s="230"/>
      <c r="F4" s="231"/>
      <c r="G4" s="52"/>
      <c r="H4" s="98"/>
      <c r="I4" s="83"/>
      <c r="J4" s="56"/>
      <c r="K4" s="56"/>
      <c r="L4" s="56"/>
    </row>
    <row r="5" spans="1:12" ht="12.75">
      <c r="A5" s="54"/>
      <c r="B5" s="49"/>
      <c r="C5" s="52"/>
      <c r="D5" s="52"/>
      <c r="E5" s="52"/>
      <c r="F5" s="52"/>
      <c r="G5" s="52"/>
      <c r="H5" s="98"/>
      <c r="I5" s="83"/>
      <c r="J5" s="56"/>
      <c r="K5" s="56"/>
      <c r="L5" s="56"/>
    </row>
    <row r="6" spans="1:12" ht="12.75">
      <c r="A6" s="54"/>
      <c r="B6" s="49"/>
      <c r="C6" s="205" t="s">
        <v>1117</v>
      </c>
      <c r="D6" s="207"/>
      <c r="E6" s="207"/>
      <c r="F6" s="208"/>
      <c r="G6" s="252"/>
      <c r="H6" s="141"/>
      <c r="I6" s="253"/>
      <c r="J6" s="127"/>
      <c r="K6" s="127"/>
      <c r="L6" s="127"/>
    </row>
    <row r="7" spans="1:12" ht="12.75">
      <c r="A7" s="54"/>
      <c r="B7" s="49"/>
      <c r="C7" s="177" t="s">
        <v>900</v>
      </c>
      <c r="D7" s="25">
        <v>12</v>
      </c>
      <c r="E7" s="220"/>
      <c r="F7" s="225"/>
      <c r="G7" s="52"/>
      <c r="H7" s="98"/>
      <c r="I7" s="83"/>
      <c r="J7" s="56"/>
      <c r="K7" s="56"/>
      <c r="L7" s="56"/>
    </row>
    <row r="8" spans="1:12" ht="12.75">
      <c r="A8" s="54"/>
      <c r="B8" s="49"/>
      <c r="C8" s="177" t="s">
        <v>1118</v>
      </c>
      <c r="D8" s="25">
        <v>0</v>
      </c>
      <c r="E8" s="222" t="str">
        <f>CHOOSE((D8+1),"Turret","Bay","Fixed","Parallel","Spinal")</f>
        <v>Turret</v>
      </c>
      <c r="F8" s="226"/>
      <c r="G8" s="52"/>
      <c r="H8" s="98"/>
      <c r="I8" s="83"/>
      <c r="J8" s="56"/>
      <c r="K8" s="56"/>
      <c r="L8" s="56"/>
    </row>
    <row r="9" spans="1:12" ht="12.75">
      <c r="A9" s="54"/>
      <c r="B9" s="49"/>
      <c r="C9" s="177" t="s">
        <v>1119</v>
      </c>
      <c r="D9" s="25">
        <v>2.6</v>
      </c>
      <c r="E9" s="27" t="str">
        <f>CHOOSE((D22+1)," ",IF(D9&gt;3.58,"Size violation"," "),IF(D9&gt;4.51,"Size Violation"," "),IF(D9&gt;7.6,"Size Violation"," "),IF(D9&gt;9.4,"Size Violation"," "))</f>
        <v> </v>
      </c>
      <c r="F9" s="226"/>
      <c r="G9" s="52"/>
      <c r="H9" s="98"/>
      <c r="I9" s="83"/>
      <c r="J9" s="56"/>
      <c r="K9" s="56"/>
      <c r="L9" s="56"/>
    </row>
    <row r="10" spans="1:12" ht="12.75">
      <c r="A10" s="54"/>
      <c r="B10" s="49"/>
      <c r="C10" s="177" t="s">
        <v>1120</v>
      </c>
      <c r="D10" s="30">
        <f>D33/F33</f>
        <v>0.30000000000000004</v>
      </c>
      <c r="E10" s="27" t="str">
        <f>CHOOSE((D8+1),CHOOSE((D22+1),IF(D10&gt;Tables!F39,"Size Violation"," "),IF(D10&gt;4.18,"Size violation"," "),IF(D10&gt;5.26,"Size Violation"," "),IF(D10&gt;12,"Size Violation"," "),IF(D10&gt;16,"Size Violation"," ")),CHOOSE((((D22+1)-1)+1),IF(D10&gt;Tables!F39,"Size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 </v>
      </c>
      <c r="F10" s="226"/>
      <c r="G10" s="52"/>
      <c r="H10" s="98"/>
      <c r="I10" s="83"/>
      <c r="J10" s="56"/>
      <c r="K10" s="56"/>
      <c r="L10" s="56"/>
    </row>
    <row r="11" spans="1:12" ht="12.75">
      <c r="A11" s="54"/>
      <c r="B11" s="49"/>
      <c r="C11" s="177" t="s">
        <v>1121</v>
      </c>
      <c r="D11" s="25">
        <v>0</v>
      </c>
      <c r="E11" s="222" t="str">
        <f>IF(D11=1,IF(D7&lt;13,"Error: TL Violation","X-Ray"),"Tunable")</f>
        <v>Tunable</v>
      </c>
      <c r="F11" s="226"/>
      <c r="G11" s="52"/>
      <c r="H11" s="98"/>
      <c r="I11" s="83"/>
      <c r="J11" s="56"/>
      <c r="K11" s="56"/>
      <c r="L11" s="56"/>
    </row>
    <row r="12" spans="1:12" ht="12.75">
      <c r="A12" s="54"/>
      <c r="B12" s="49"/>
      <c r="C12" s="177" t="s">
        <v>1122</v>
      </c>
      <c r="D12" s="25">
        <v>300</v>
      </c>
      <c r="E12" s="27" t="str">
        <f>IF(D12&gt;(D7*50),"Error: TL Violation"," ")</f>
        <v> </v>
      </c>
      <c r="F12" s="226"/>
      <c r="G12" s="52"/>
      <c r="H12" s="98"/>
      <c r="I12" s="83"/>
      <c r="J12" s="56"/>
      <c r="K12" s="56"/>
      <c r="L12" s="56"/>
    </row>
    <row r="13" spans="1:12" ht="12.75">
      <c r="A13" s="54"/>
      <c r="B13" s="49"/>
      <c r="C13" s="276" t="s">
        <v>1123</v>
      </c>
      <c r="D13" s="281">
        <f>Tables!E308</f>
        <v>169000.00000000003</v>
      </c>
      <c r="E13" s="27"/>
      <c r="F13" s="226"/>
      <c r="G13" s="52"/>
      <c r="H13" s="98"/>
      <c r="I13" s="83"/>
      <c r="J13" s="56"/>
      <c r="K13" s="56"/>
      <c r="L13" s="56"/>
    </row>
    <row r="14" spans="1:12" ht="12.75">
      <c r="A14" s="54"/>
      <c r="B14" s="49"/>
      <c r="C14" s="276" t="s">
        <v>1124</v>
      </c>
      <c r="D14" s="25">
        <v>1</v>
      </c>
      <c r="E14" s="27" t="str">
        <f>CHOOSE((D14+1),"Short (30,000km)","Normal (150,000km)","Extreme (300,000km)")</f>
        <v>Normal (150,000km)</v>
      </c>
      <c r="F14" s="226"/>
      <c r="G14" s="52"/>
      <c r="H14" s="98"/>
      <c r="I14" s="83"/>
      <c r="J14" s="56"/>
      <c r="K14" s="56"/>
      <c r="L14" s="56"/>
    </row>
    <row r="15" spans="1:12" ht="12.75">
      <c r="A15" s="54"/>
      <c r="B15" s="49"/>
      <c r="C15" s="177" t="s">
        <v>1125</v>
      </c>
      <c r="D15" s="25">
        <v>1</v>
      </c>
      <c r="E15" s="222" t="str">
        <f>IF(D15=1,IF(D7&lt;9,"Error: TL Violation","Grav focused"),"Non-grav focused")</f>
        <v>Grav focused</v>
      </c>
      <c r="F15" s="228"/>
      <c r="G15" s="52"/>
      <c r="H15" s="98"/>
      <c r="I15" s="83"/>
      <c r="J15" s="56"/>
      <c r="K15" s="56"/>
      <c r="L15" s="56"/>
    </row>
    <row r="16" spans="1:12" ht="12.75">
      <c r="A16" s="54"/>
      <c r="B16" s="49"/>
      <c r="C16" s="177" t="s">
        <v>1126</v>
      </c>
      <c r="D16" s="25">
        <v>1</v>
      </c>
      <c r="E16" s="222" t="str">
        <f>IF(D16=0,"No","Yes")</f>
        <v>Yes</v>
      </c>
      <c r="F16" s="226"/>
      <c r="G16" s="52"/>
      <c r="H16" s="98"/>
      <c r="I16" s="83"/>
      <c r="J16" s="56"/>
      <c r="K16" s="56"/>
      <c r="L16" s="56"/>
    </row>
    <row r="17" spans="1:12" ht="12.75">
      <c r="A17" s="54"/>
      <c r="B17" s="49"/>
      <c r="C17" s="177" t="s">
        <v>1127</v>
      </c>
      <c r="D17" s="25">
        <v>1</v>
      </c>
      <c r="E17" s="222" t="str">
        <f>IF(D17=0,"No","Yes")</f>
        <v>Yes</v>
      </c>
      <c r="F17" s="226"/>
      <c r="G17" s="52"/>
      <c r="H17" s="98"/>
      <c r="I17" s="83"/>
      <c r="J17" s="56"/>
      <c r="K17" s="56"/>
      <c r="L17" s="56"/>
    </row>
    <row r="18" spans="1:12" ht="12.75">
      <c r="A18" s="54"/>
      <c r="B18" s="49"/>
      <c r="C18" s="177" t="s">
        <v>1128</v>
      </c>
      <c r="D18" s="25">
        <v>1</v>
      </c>
      <c r="E18" s="556"/>
      <c r="F18" s="557"/>
      <c r="G18" s="52"/>
      <c r="H18" s="98"/>
      <c r="I18" s="83"/>
      <c r="J18" s="56"/>
      <c r="K18" s="56"/>
      <c r="L18" s="56"/>
    </row>
    <row r="19" spans="1:12" ht="12.75">
      <c r="A19" s="54"/>
      <c r="B19" s="49"/>
      <c r="C19" s="177" t="s">
        <v>1129</v>
      </c>
      <c r="D19" s="25">
        <v>100</v>
      </c>
      <c r="E19" s="222">
        <f>IF(D19&gt;800,"Error: PD ROF limited to 800!","")</f>
      </c>
      <c r="F19" s="226"/>
      <c r="G19" s="52"/>
      <c r="H19" s="98"/>
      <c r="I19" s="83"/>
      <c r="J19" s="128"/>
      <c r="K19" s="56"/>
      <c r="L19" s="56"/>
    </row>
    <row r="20" spans="1:12" ht="12.75">
      <c r="A20" s="456"/>
      <c r="B20" s="457"/>
      <c r="C20" s="477" t="s">
        <v>1130</v>
      </c>
      <c r="D20" s="478">
        <v>100</v>
      </c>
      <c r="E20" s="222">
        <f>IF(D20&gt;800,"Error: PD ROF limited to 800!","")</f>
      </c>
      <c r="F20" s="226"/>
      <c r="G20" s="462"/>
      <c r="H20" s="463"/>
      <c r="I20" s="464"/>
      <c r="J20" s="459"/>
      <c r="K20" s="465"/>
      <c r="L20" s="465"/>
    </row>
    <row r="21" spans="1:12" ht="12.75">
      <c r="A21" s="54"/>
      <c r="B21" s="49"/>
      <c r="C21" s="298" t="s">
        <v>1131</v>
      </c>
      <c r="D21" s="295">
        <v>0</v>
      </c>
      <c r="E21" s="296"/>
      <c r="F21" s="297"/>
      <c r="G21" s="52"/>
      <c r="H21" s="98"/>
      <c r="I21" s="83"/>
      <c r="J21" s="128"/>
      <c r="K21" s="56"/>
      <c r="L21" s="56"/>
    </row>
    <row r="22" spans="1:12" ht="12.75">
      <c r="A22" s="54"/>
      <c r="B22" s="49"/>
      <c r="C22" s="179" t="s">
        <v>1132</v>
      </c>
      <c r="D22" s="31">
        <v>0</v>
      </c>
      <c r="E22" s="224" t="str">
        <f>CHOOSE((D22+1),"None","42m turret","84m turret","50std bay","100std bay")</f>
        <v>None</v>
      </c>
      <c r="F22" s="229"/>
      <c r="G22" s="52"/>
      <c r="H22" s="98"/>
      <c r="I22" s="83"/>
      <c r="J22" s="56"/>
      <c r="K22" s="56"/>
      <c r="L22" s="56"/>
    </row>
    <row r="23" spans="1:12" ht="12.75">
      <c r="A23" s="54"/>
      <c r="B23" s="49"/>
      <c r="C23" s="52"/>
      <c r="D23" s="52"/>
      <c r="E23" s="52"/>
      <c r="F23" s="52"/>
      <c r="G23" s="52"/>
      <c r="H23" s="98"/>
      <c r="I23" s="83"/>
      <c r="J23" s="56"/>
      <c r="K23" s="56"/>
      <c r="L23" s="56"/>
    </row>
    <row r="24" spans="1:12" ht="12.75">
      <c r="A24" s="54"/>
      <c r="B24" s="49"/>
      <c r="C24" s="205" t="s">
        <v>1133</v>
      </c>
      <c r="D24" s="495" t="s">
        <v>1134</v>
      </c>
      <c r="E24" s="207" t="s">
        <v>1135</v>
      </c>
      <c r="F24" s="208"/>
      <c r="G24" s="52"/>
      <c r="H24" s="98"/>
      <c r="I24" s="83"/>
      <c r="J24" s="56"/>
      <c r="K24" s="56"/>
      <c r="L24" s="56"/>
    </row>
    <row r="25" spans="1:12" ht="12.75">
      <c r="A25" s="456"/>
      <c r="B25" s="457"/>
      <c r="C25" s="254" t="s">
        <v>1137</v>
      </c>
      <c r="D25" s="467"/>
      <c r="E25" s="482">
        <f>IF($D$14=0,MIN($D$12,ROUND($D$12/((30000/Tables!$E$308)^2),3)),MIN($D$12,ROUND($D$12/(((30000*5)/Tables!$E$308)^2),3)))</f>
        <v>300</v>
      </c>
      <c r="F25" s="226"/>
      <c r="G25" s="462"/>
      <c r="H25" s="463"/>
      <c r="I25" s="464"/>
      <c r="J25" s="465"/>
      <c r="K25" s="465"/>
      <c r="L25" s="465"/>
    </row>
    <row r="26" spans="1:12" ht="12.75">
      <c r="A26" s="54"/>
      <c r="B26" s="49"/>
      <c r="C26" s="254" t="s">
        <v>1137</v>
      </c>
      <c r="D26" s="232">
        <f>MIN(D12,ROUND($D$12/((CHOOSE((D14+1),30000,300000,300000)/Tables!$E$308)^2),3))</f>
        <v>95.203</v>
      </c>
      <c r="E26" s="482">
        <f>IF($D$14=0,0,MIN($D$12,ROUND($D$12/(((30000*10)/Tables!$E$308)^2),3)))</f>
        <v>95.203</v>
      </c>
      <c r="F26" s="226"/>
      <c r="G26" s="52"/>
      <c r="H26" s="98"/>
      <c r="I26" s="83"/>
      <c r="J26" s="56"/>
      <c r="K26" s="56"/>
      <c r="L26" s="56"/>
    </row>
    <row r="27" spans="1:12" ht="12.75">
      <c r="A27" s="54"/>
      <c r="B27" s="49"/>
      <c r="C27" s="254" t="s">
        <v>1138</v>
      </c>
      <c r="D27" s="232">
        <f>MIN(D12,ROUND($D$12/(((CHOOSE((D14+1),30000,300000,300000)*2)/Tables!$E$308)^2),3))</f>
        <v>23.801</v>
      </c>
      <c r="E27" s="482">
        <f>IF($D$14=0,0,MIN($D$12,ROUND($D$12/(((30000*20)/Tables!$E$308)^2),3)))</f>
        <v>23.801</v>
      </c>
      <c r="F27" s="226"/>
      <c r="G27" s="52"/>
      <c r="H27" s="98"/>
      <c r="I27" s="83"/>
      <c r="J27" s="56"/>
      <c r="K27" s="56"/>
      <c r="L27" s="56"/>
    </row>
    <row r="28" spans="1:12" ht="12.75">
      <c r="A28" s="54"/>
      <c r="B28" s="49"/>
      <c r="C28" s="254" t="s">
        <v>1139</v>
      </c>
      <c r="D28" s="232">
        <f>MIN(D12,ROUND($D$12/(((CHOOSE((D14+1),30000,300000,300000)*4)/Tables!$E$308)^2),3))</f>
        <v>5.95</v>
      </c>
      <c r="E28" s="482">
        <f>IF($D$14=0,0,MIN($D$12,ROUND($D$12/(((30000*40)/Tables!$E$308)^2),3)))</f>
        <v>5.95</v>
      </c>
      <c r="F28" s="226"/>
      <c r="G28" s="52"/>
      <c r="H28" s="98"/>
      <c r="I28" s="83"/>
      <c r="J28" s="56"/>
      <c r="K28" s="56"/>
      <c r="L28" s="56"/>
    </row>
    <row r="29" spans="1:12" ht="12.75">
      <c r="A29" s="54"/>
      <c r="B29" s="49"/>
      <c r="C29" s="254" t="s">
        <v>1140</v>
      </c>
      <c r="D29" s="232">
        <f>MIN(D12,ROUND($D$12/(((CHOOSE((D14+1),30000,300000,300000)*8)/Tables!$E$308)^2),3))</f>
        <v>1.488</v>
      </c>
      <c r="E29" s="482">
        <f>IF($D$14=2,MIN($D$12,ROUND($D$12/(((30000*80)/Tables!$E$308)^2),3)),0)</f>
        <v>0</v>
      </c>
      <c r="F29" s="226"/>
      <c r="G29" s="52"/>
      <c r="H29" s="98"/>
      <c r="I29" s="83"/>
      <c r="J29" s="56"/>
      <c r="K29" s="56"/>
      <c r="L29" s="56"/>
    </row>
    <row r="30" spans="1:12" ht="12.75">
      <c r="A30" s="54"/>
      <c r="B30" s="49"/>
      <c r="C30" s="264" t="s">
        <v>1134</v>
      </c>
      <c r="D30" s="211" t="str">
        <f>CONCATENATE("(",IF(D17=0,"+0",CHOOSE((D7+1),"+0","+0","+0","+0","+0","+0","+0","+0","+0","+0","+3","+3","+4","+4","+5","+6","+6","+7","+7","+8","+8","+9")),") 1/",ROUND(Tables!F313,0),"-",ROUND(Tables!F314,0),"-",ROUND(Tables!F315,0),"-",ROUND(Tables!F316,0))</f>
        <v>(+4) 1/2-0-0-0</v>
      </c>
      <c r="E30" s="224" t="str">
        <f>CONCATENATE("(",IF(Tables!$E$322&gt;=0,"+",""),Tables!$E$322,IF(D17=0,"",CHOOSE((D7+1),"","","","","","","","","","",",+3",",+3",",+4",",+4",",+5",",+6",",+6",",+7",",+7",",+8",",+8",",+9")),") ",IF(Tables!$F$317=0,"",CONCATENATE(Tables!$H$317,":",Tables!$F$317))," ",IF(Tables!$F$318=0,"",CONCATENATE(Tables!$H$318,":",Tables!$F$318))," ",IF(Tables!$F$319=0,"",CONCATENATE(Tables!$H$319,":",Tables!$F$319))," ",IF(Tables!$F$320=0,"",CONCATENATE(Tables!$H$320,":",Tables!$F$320))," ",IF(Tables!$F$321=0,"",CONCATENATE(Tables!$H$321,":",Tables!$F$321))," PDR:",IF(Tables!$E$323&gt;=0,"+",""),Tables!$E$323)</f>
        <v>(+1,+4) 14:8 13:7 11:5 9:3  PDR:+1</v>
      </c>
      <c r="F30" s="229"/>
      <c r="G30" s="52"/>
      <c r="H30" s="98"/>
      <c r="I30" s="83"/>
      <c r="J30" s="56"/>
      <c r="K30" s="56"/>
      <c r="L30" s="56"/>
    </row>
    <row r="31" spans="1:12" ht="12.75">
      <c r="A31" s="54"/>
      <c r="B31" s="49"/>
      <c r="C31" s="52"/>
      <c r="D31" s="52"/>
      <c r="E31" s="52"/>
      <c r="F31" s="52"/>
      <c r="G31" s="52"/>
      <c r="H31" s="98"/>
      <c r="I31" s="83"/>
      <c r="J31" s="56"/>
      <c r="K31" s="56"/>
      <c r="L31" s="56"/>
    </row>
    <row r="32" spans="1:12" ht="12.75">
      <c r="A32" s="54"/>
      <c r="B32" s="49"/>
      <c r="C32" s="205" t="s">
        <v>1141</v>
      </c>
      <c r="D32" s="207" t="s">
        <v>910</v>
      </c>
      <c r="E32" s="207" t="s">
        <v>911</v>
      </c>
      <c r="F32" s="207" t="s">
        <v>912</v>
      </c>
      <c r="G32" s="207" t="s">
        <v>913</v>
      </c>
      <c r="H32" s="142" t="s">
        <v>1142</v>
      </c>
      <c r="I32" s="83"/>
      <c r="J32" s="56"/>
      <c r="K32" s="56"/>
      <c r="L32" s="56"/>
    </row>
    <row r="33" spans="1:12" ht="12.75">
      <c r="A33" s="54"/>
      <c r="B33" s="49"/>
      <c r="C33" s="177" t="s">
        <v>1143</v>
      </c>
      <c r="D33" s="18">
        <f>IF(AND(IF(D7&lt;13,TRUE(),FALSE()),IF(D11=1,TRUE(),FALSE())),#VALUE!,IF(AND(IF(D7&lt;9,TRUE(),FALSE()),IF(D15=1,TRUE(),FALSE())),#VALUE!,IF(D12&gt;D7*50,#VALUE!,D12*F33*CHOOSE((D7+1),0,0,0,0,0,0,1,1,0.1,0.01,0.01,0.001,0.001,0.001,0.001,0.0005,0.0005,0.0005,0.0005,0.0001,0.0001)*Tables!E309)))</f>
        <v>1.5927874753700253</v>
      </c>
      <c r="E33" s="18">
        <f>D33</f>
        <v>1.5927874753700253</v>
      </c>
      <c r="F33" s="18">
        <f>(PI()*D9^2)/4*D18</f>
        <v>5.3092915845667505</v>
      </c>
      <c r="G33" s="18">
        <f>D19*Tables!E306/1800*D18</f>
        <v>83.33333333333333</v>
      </c>
      <c r="H33" s="116">
        <f>CHOOSE((D8+1),0.2,0.2,0.1,0.1,0.1)*D33</f>
        <v>0.3185574950740051</v>
      </c>
      <c r="I33" s="83"/>
      <c r="J33" s="56"/>
      <c r="K33" s="56"/>
      <c r="L33" s="56"/>
    </row>
    <row r="34" spans="1:12" ht="12.75">
      <c r="A34" s="54"/>
      <c r="B34" s="49"/>
      <c r="C34" s="177" t="s">
        <v>961</v>
      </c>
      <c r="D34" s="19">
        <f>VLOOKUP(CHOOSE((D14+1),5,6,6),Tables!$D$119:$Z$125,(D7+1+1))*D18</f>
        <v>16.67</v>
      </c>
      <c r="E34" s="19">
        <f>D34</f>
        <v>16.67</v>
      </c>
      <c r="F34" s="148"/>
      <c r="G34" s="148"/>
      <c r="H34" s="120">
        <f>D34*0.1</f>
        <v>1.6670000000000003</v>
      </c>
      <c r="I34" s="83"/>
      <c r="J34" s="56"/>
      <c r="K34" s="56"/>
      <c r="L34" s="56"/>
    </row>
    <row r="35" spans="1:12" ht="12.75">
      <c r="A35" s="54"/>
      <c r="B35" s="49"/>
      <c r="C35" s="177" t="s">
        <v>954</v>
      </c>
      <c r="D35" s="18">
        <f>Tables!E306*CHOOSE((D7+1),0,0,0,0,0,0,0,0.25,0.125,0.1,0.08,0.06,0.05,0.045,0.04,0.035,0.03,0.025,0.02,0.015,0.01,0.005)*D18</f>
        <v>75</v>
      </c>
      <c r="E35" s="18">
        <f>D35*2</f>
        <v>150</v>
      </c>
      <c r="F35" s="148"/>
      <c r="G35" s="148"/>
      <c r="H35" s="116">
        <f>D35*0.01</f>
        <v>0.75</v>
      </c>
      <c r="I35" s="83"/>
      <c r="J35" s="56"/>
      <c r="K35" s="56"/>
      <c r="L35" s="56"/>
    </row>
    <row r="36" spans="1:12" ht="12.75">
      <c r="A36" s="456"/>
      <c r="B36" s="457"/>
      <c r="C36" s="484" t="s">
        <v>1144</v>
      </c>
      <c r="D36" s="460">
        <f>Tables!E310/CHOOSE(($D$7+1),0,0,0,0.04,0.06,0.08,0.1,0.2,0.4,0.8,1,1.5,2,2.5,3,3.5,4,6,8,10,12)</f>
        <v>1.389</v>
      </c>
      <c r="E36" s="460">
        <f>D36*CHOOSE((Las1!$D$7+1),0,0,0,0,2,2,2,2,2,2,2,2,2,2.5,2.5,2.5,2.5,2.5,3,4,5,6)</f>
        <v>2.778</v>
      </c>
      <c r="F36" s="148"/>
      <c r="G36" s="148"/>
      <c r="H36" s="461">
        <f>D36*CHOOSE((Las1!$D$7+1),0,0,0,0,0.001,0.001,0.0008,0.0008,0.001,0.002,0.003,0.004,0.005,0.008,0.01,0.015,0.02,0.025,0.03,0.04,0.05,0.1)*2</f>
        <v>0.01389</v>
      </c>
      <c r="I36" s="464"/>
      <c r="J36" s="465"/>
      <c r="K36" s="465"/>
      <c r="L36" s="465"/>
    </row>
    <row r="37" spans="1:12" ht="12.75">
      <c r="A37" s="54"/>
      <c r="B37" s="49"/>
      <c r="C37" s="177" t="s">
        <v>1145</v>
      </c>
      <c r="D37" s="18">
        <f>IF(D16=0,0,7)</f>
        <v>7</v>
      </c>
      <c r="E37" s="18">
        <f>IF(D16=0,0,0.2)</f>
        <v>0.2</v>
      </c>
      <c r="F37" s="148"/>
      <c r="G37" s="148"/>
      <c r="H37" s="69">
        <f>CHOOSE((D7+1),0,0,0,0,0.0001,0.0002,0.0003,0.0005,0.00075,0.001,0.0015,0.0015,0.0015,0.002,0.002,0.002,0.002,0.0025,0.0025,0.0025,0.0025,0.003)*IF(D16=0,0,1)</f>
        <v>0.0015</v>
      </c>
      <c r="I37" s="83"/>
      <c r="J37" s="56"/>
      <c r="K37" s="56"/>
      <c r="L37" s="56"/>
    </row>
    <row r="38" spans="1:12" ht="12.75">
      <c r="A38" s="54"/>
      <c r="B38" s="49"/>
      <c r="C38" s="177" t="s">
        <v>1146</v>
      </c>
      <c r="D38" s="19">
        <f>IF(D17=0,0,VLOOKUP(CHOOSE((D14+1),5,6,6),Tables!$D$128:$Z$134,(D7+1+1)))</f>
        <v>33.33</v>
      </c>
      <c r="E38" s="19">
        <f>D38</f>
        <v>33.33</v>
      </c>
      <c r="F38" s="106"/>
      <c r="G38" s="19">
        <f>D38*0.01</f>
        <v>0.3333</v>
      </c>
      <c r="H38" s="120">
        <f>D38</f>
        <v>33.33</v>
      </c>
      <c r="I38" s="83"/>
      <c r="J38" s="56"/>
      <c r="K38" s="56"/>
      <c r="L38" s="56"/>
    </row>
    <row r="39" spans="1:12" ht="12.75">
      <c r="A39" s="54"/>
      <c r="B39" s="49"/>
      <c r="C39" s="276" t="s">
        <v>570</v>
      </c>
      <c r="D39" s="19">
        <f>Tables!E312*Tables!F312</f>
        <v>0</v>
      </c>
      <c r="E39" s="19">
        <f>D39*Tables!F10</f>
        <v>0</v>
      </c>
      <c r="F39" s="106"/>
      <c r="G39" s="19">
        <f>D39*Tables!F12</f>
        <v>0</v>
      </c>
      <c r="H39" s="120">
        <f>Tables!F11*D39</f>
        <v>0</v>
      </c>
      <c r="I39" s="83"/>
      <c r="J39" s="56"/>
      <c r="K39" s="56"/>
      <c r="L39" s="56"/>
    </row>
    <row r="40" spans="1:12" ht="12.75">
      <c r="A40" s="54"/>
      <c r="B40" s="49"/>
      <c r="C40" s="177" t="s">
        <v>1132</v>
      </c>
      <c r="D40" s="18">
        <f>IF(D22=0,0,CHOOSE((D22+1),0,42,84,700,1400)-SUM(D33:D39))</f>
        <v>0</v>
      </c>
      <c r="E40" s="237"/>
      <c r="F40" s="237"/>
      <c r="G40" s="148"/>
      <c r="H40" s="75"/>
      <c r="I40" s="83"/>
      <c r="J40" s="56"/>
      <c r="K40" s="56"/>
      <c r="L40" s="56"/>
    </row>
    <row r="41" spans="1:12" ht="12.75">
      <c r="A41" s="54"/>
      <c r="B41" s="49"/>
      <c r="C41" s="13" t="s">
        <v>341</v>
      </c>
      <c r="D41" s="105">
        <f>IF(D40&lt;0,#VALUE!,SUM(D33:D40))</f>
        <v>134.98178747537003</v>
      </c>
      <c r="E41" s="105">
        <f>SUM(E33:E40)</f>
        <v>204.57078747537003</v>
      </c>
      <c r="F41" s="105">
        <f>SUM(F33:F40)</f>
        <v>5.3092915845667505</v>
      </c>
      <c r="G41" s="105">
        <f>SUM(G33:G40)</f>
        <v>83.66663333333332</v>
      </c>
      <c r="H41" s="139">
        <f>SUM(H33:H40)</f>
        <v>36.08094749507401</v>
      </c>
      <c r="I41" s="83"/>
      <c r="J41" s="56"/>
      <c r="K41" s="56"/>
      <c r="L41" s="56"/>
    </row>
    <row r="42" spans="1:12" ht="12.75">
      <c r="A42" s="54"/>
      <c r="B42" s="49"/>
      <c r="C42" s="52"/>
      <c r="D42" s="255"/>
      <c r="E42" s="255"/>
      <c r="F42" s="255"/>
      <c r="G42" s="255"/>
      <c r="H42" s="98"/>
      <c r="I42" s="83"/>
      <c r="J42" s="56"/>
      <c r="K42" s="56"/>
      <c r="L42" s="56"/>
    </row>
    <row r="43" spans="1:12" ht="12.75">
      <c r="A43" s="54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</row>
    <row r="44" spans="1:12" ht="12.75">
      <c r="A44" s="54"/>
      <c r="B44" s="49"/>
      <c r="C44" s="250" t="s">
        <v>1148</v>
      </c>
      <c r="D44" s="37">
        <v>1</v>
      </c>
      <c r="E44" s="554"/>
      <c r="F44" s="555"/>
      <c r="G44" s="255"/>
      <c r="H44" s="98"/>
      <c r="I44" s="83"/>
      <c r="J44" s="56"/>
      <c r="K44" s="56"/>
      <c r="L44" s="56"/>
    </row>
    <row r="45" spans="1:12" ht="12.75">
      <c r="A45" s="54"/>
      <c r="B45" s="49"/>
      <c r="C45" s="177" t="s">
        <v>1149</v>
      </c>
      <c r="D45" s="30">
        <f>IF(D44&gt;1,1,0)</f>
        <v>0</v>
      </c>
      <c r="E45" s="554"/>
      <c r="F45" s="555"/>
      <c r="G45" s="255"/>
      <c r="H45" s="98"/>
      <c r="I45" s="83"/>
      <c r="J45" s="56"/>
      <c r="K45" s="56"/>
      <c r="L45" s="56"/>
    </row>
    <row r="46" spans="1:12" ht="12.75">
      <c r="A46" s="54"/>
      <c r="B46" s="49"/>
      <c r="C46" s="179" t="s">
        <v>1127</v>
      </c>
      <c r="D46" s="147">
        <f>IF(D44&gt;1,1,0)</f>
        <v>0</v>
      </c>
      <c r="E46" s="552"/>
      <c r="F46" s="553"/>
      <c r="G46" s="255"/>
      <c r="H46" s="98"/>
      <c r="I46" s="83"/>
      <c r="J46" s="56"/>
      <c r="K46" s="56"/>
      <c r="L46" s="56"/>
    </row>
    <row r="47" spans="1:12" ht="12.75">
      <c r="A47" s="54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</row>
    <row r="48" spans="1:12" ht="12.75">
      <c r="A48" s="54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</row>
    <row r="49" spans="1:12" ht="12.75">
      <c r="A49" s="456"/>
      <c r="B49" s="457"/>
      <c r="C49" s="484" t="s">
        <v>1134</v>
      </c>
      <c r="D49" s="485" t="str">
        <f>CONCATENATE("(",IF(D46+D17=0,"+0",CHOOSE((D7+1),"+0","+0","+0","+0","+0","+0","+0","+0","+0","+0","+3","+3","+4","+4","+5","+6","+6","+7","+7","+8","+8","+9")),") 1/",ROUND(Tables!G313,0),"-",ROUND(Tables!G314,0),"-",ROUND(Tables!G315,0),"-",ROUND(Tables!G316,0)," [",ROUND(D18*D44,0),",",ROUND(D19,0),"/",ROUND(Tables!E313,0),"-",ROUND(Tables!E314,0),"-",ROUND(Tables!E315,0),"-",ROUND(Tables!E316,0),"]"," ",CHOOSE((D14+1),"(SR","(LR"),IF(D21=0,"",CONCATENATE(" /Ar:",ROUND(VLOOKUP(D21/1.43,Tables!A2:B61,2)*10,0)," [",ROUND(D21,0),"]")),")")</f>
        <v>(+4) 1/2-0-0-0 [1,100/24-12-6-3] (LR)</v>
      </c>
      <c r="E49" s="493"/>
      <c r="F49" s="492"/>
      <c r="G49" s="462"/>
      <c r="H49" s="463"/>
      <c r="I49" s="464"/>
      <c r="J49" s="465"/>
      <c r="K49" s="465"/>
      <c r="L49" s="465"/>
    </row>
    <row r="50" spans="1:12" ht="12.75">
      <c r="A50" s="54"/>
      <c r="B50" s="49"/>
      <c r="C50" s="264" t="s">
        <v>1135</v>
      </c>
      <c r="D50" s="224" t="str">
        <f>CONCATENATE("(",IF(Tables!$E$322&gt;=0,"+",""),Tables!$E$322,IF(D17+D46=0,"",CHOOSE((D7+1),"","","","","","","","","","",",+3",",+3",",+4",",+4",",+5",",+6",",+6",",+7",",+7",",+8",",+8",",+9")),") ",IF(Tables!$F$317=0,"",CONCATENATE(Tables!$H$317,":",Tables!$G$317))," ",IF(Tables!$F$318=0,"",CONCATENATE(Tables!$H$318,":",Tables!$G$318))," ",IF(Tables!$F$319=0,"",CONCATENATE(Tables!$H$319,":",Tables!$G$319))," ",IF(Tables!$F$320=0,"",CONCATENATE(Tables!$H$320,":",Tables!$G$320))," ",IF(Tables!$F$321=0,"",CONCATENATE(Tables!$H$321,":",Tables!$G$321))," PDR:",IF(Tables!$E$323&gt;=0,"+",""),Tables!$E$324)</f>
        <v>(+1,+4) 14:8 13:7 11:5 9:3  PDR:+1</v>
      </c>
      <c r="E50" s="59"/>
      <c r="F50" s="214"/>
      <c r="G50" s="52"/>
      <c r="H50" s="98"/>
      <c r="I50" s="83"/>
      <c r="J50" s="56"/>
      <c r="K50" s="56"/>
      <c r="L50" s="56"/>
    </row>
    <row r="51" spans="1:12" ht="12.75">
      <c r="A51" s="54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</row>
    <row r="52" spans="1:12" ht="12.75">
      <c r="A52" s="54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</row>
    <row r="53" spans="1:12" ht="12.75">
      <c r="A53" s="54"/>
      <c r="B53" s="49"/>
      <c r="C53" s="177" t="s">
        <v>1146</v>
      </c>
      <c r="D53" s="19">
        <f>IF(D46=0,0,VLOOKUP(CHOOSE((D14+1),5,6,6),Tables!$D$128:$Z$134,(D7+1+1)))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</row>
    <row r="54" spans="1:12" ht="12.75">
      <c r="A54" s="54"/>
      <c r="B54" s="49"/>
      <c r="C54" s="177" t="s">
        <v>1152</v>
      </c>
      <c r="D54" s="19">
        <f>IF(D45=0,0,IF(Design!E230&gt;0,14,7))</f>
        <v>0</v>
      </c>
      <c r="E54" s="19">
        <f>IF(D45&gt;0,0.2,0)</f>
        <v>0</v>
      </c>
      <c r="F54" s="106"/>
      <c r="G54" s="106"/>
      <c r="H54" s="69">
        <f>CHOOSE((D7+1),0,0,0,0,0.0001,0.0002,0.0003,0.0005,0.00075,0.001,0.0015,0.0015,0.0015,0.002,0.002,0.002,0.002,0.0025,0.0025,0.0025,0.0025,0.003)*IF(D45=0,0,1)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</row>
    <row r="55" spans="1:12" ht="12.75">
      <c r="A55" s="54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</row>
    <row r="56" spans="1:12" ht="12.75">
      <c r="A56" s="54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</row>
    <row r="57" spans="1:12" ht="12.75">
      <c r="A57" s="54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</row>
    <row r="58" spans="1:12" ht="12.75">
      <c r="A58" s="54"/>
      <c r="B58" s="49"/>
      <c r="C58" s="260" t="s">
        <v>1154</v>
      </c>
      <c r="D58" s="144">
        <f>D55+D41*D44</f>
        <v>134.98178747537003</v>
      </c>
      <c r="E58" s="255"/>
      <c r="F58" s="255"/>
      <c r="G58" s="255"/>
      <c r="H58" s="98"/>
      <c r="I58" s="83"/>
      <c r="J58" s="56"/>
      <c r="K58" s="56"/>
      <c r="L58" s="56"/>
    </row>
    <row r="59" spans="1:12" ht="12.75">
      <c r="A59" s="54"/>
      <c r="B59" s="49"/>
      <c r="C59" s="260" t="s">
        <v>1155</v>
      </c>
      <c r="D59" s="144">
        <f>E55+(E41*D44)</f>
        <v>204.57078747537003</v>
      </c>
      <c r="E59" s="255"/>
      <c r="F59" s="255"/>
      <c r="G59" s="255"/>
      <c r="H59" s="98"/>
      <c r="I59" s="83"/>
      <c r="J59" s="56"/>
      <c r="K59" s="56"/>
      <c r="L59" s="56"/>
    </row>
    <row r="60" spans="1:12" ht="12.75">
      <c r="A60" s="54"/>
      <c r="B60" s="49"/>
      <c r="C60" s="260" t="s">
        <v>1156</v>
      </c>
      <c r="D60" s="144">
        <f>CHOOSE((D$8+1),CHOOSE((D$22+1),D$9^2,10,16,90,150),CHOOSE((D$22+1),D12*(D$33/F$33),0,0,90,150),D$9^2,D$9^2,D$9^2)*D44</f>
        <v>6.760000000000001</v>
      </c>
      <c r="E60" s="255"/>
      <c r="F60" s="255"/>
      <c r="G60" s="255"/>
      <c r="H60" s="98"/>
      <c r="I60" s="83"/>
      <c r="J60" s="56"/>
      <c r="K60" s="56"/>
      <c r="L60" s="56"/>
    </row>
    <row r="61" spans="1:12" ht="12.75">
      <c r="A61" s="54"/>
      <c r="B61" s="49"/>
      <c r="C61" s="260" t="s">
        <v>1157</v>
      </c>
      <c r="D61" s="144">
        <f>G55+(G41*D44)</f>
        <v>83.66663333333332</v>
      </c>
      <c r="E61" s="255"/>
      <c r="F61" s="255"/>
      <c r="G61" s="255"/>
      <c r="H61" s="98"/>
      <c r="I61" s="83"/>
      <c r="J61" s="56"/>
      <c r="K61" s="56"/>
      <c r="L61" s="56"/>
    </row>
    <row r="62" spans="1:12" ht="12.75">
      <c r="A62" s="54"/>
      <c r="B62" s="49"/>
      <c r="C62" s="260" t="s">
        <v>1158</v>
      </c>
      <c r="D62" s="116">
        <f>H55+(H41*D44)</f>
        <v>36.08094749507401</v>
      </c>
      <c r="E62" s="255"/>
      <c r="F62" s="255"/>
      <c r="G62" s="255"/>
      <c r="H62" s="98"/>
      <c r="I62" s="83"/>
      <c r="J62" s="56"/>
      <c r="K62" s="56"/>
      <c r="L62" s="56"/>
    </row>
    <row r="63" spans="1:12" ht="12.75">
      <c r="A63" s="54"/>
      <c r="B63" s="49"/>
      <c r="C63" s="261" t="s">
        <v>1159</v>
      </c>
      <c r="D63" s="146">
        <v>1</v>
      </c>
      <c r="E63" s="255"/>
      <c r="F63" s="255"/>
      <c r="G63" s="255"/>
      <c r="H63" s="98"/>
      <c r="I63" s="83"/>
      <c r="J63" s="56"/>
      <c r="K63" s="56"/>
      <c r="L63" s="56"/>
    </row>
    <row r="64" spans="1:12" ht="12.75">
      <c r="A64" s="54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</row>
    <row r="65" spans="1:12" ht="12.75">
      <c r="A65" s="54"/>
      <c r="B65" s="54"/>
      <c r="C65" s="56"/>
      <c r="D65" s="56"/>
      <c r="E65" s="56"/>
      <c r="F65" s="56"/>
      <c r="G65" s="56"/>
      <c r="H65" s="244"/>
      <c r="I65" s="56"/>
      <c r="J65" s="56"/>
      <c r="K65" s="56"/>
      <c r="L65" s="56"/>
    </row>
    <row r="66" spans="1:12" ht="12.75">
      <c r="A66" s="54"/>
      <c r="B66" s="54"/>
      <c r="C66" s="56"/>
      <c r="D66" s="56"/>
      <c r="E66" s="56"/>
      <c r="F66" s="56"/>
      <c r="G66" s="56"/>
      <c r="H66" s="244"/>
      <c r="I66" s="56"/>
      <c r="J66" s="56"/>
      <c r="K66" s="56"/>
      <c r="L66" s="56"/>
    </row>
    <row r="67" spans="1:12" ht="12.75">
      <c r="A67" s="54"/>
      <c r="B67" s="54"/>
      <c r="C67" s="56"/>
      <c r="D67" s="56"/>
      <c r="E67" s="56"/>
      <c r="F67" s="56"/>
      <c r="G67" s="56"/>
      <c r="H67" s="244"/>
      <c r="I67" s="56"/>
      <c r="J67" s="56"/>
      <c r="K67" s="56"/>
      <c r="L67" s="56"/>
    </row>
    <row r="68" spans="1:12" ht="12.75">
      <c r="A68" s="54"/>
      <c r="B68" s="54"/>
      <c r="C68" s="56"/>
      <c r="D68" s="56"/>
      <c r="E68" s="56"/>
      <c r="F68" s="56"/>
      <c r="G68" s="56"/>
      <c r="H68" s="244"/>
      <c r="I68" s="56"/>
      <c r="J68" s="56"/>
      <c r="K68" s="56"/>
      <c r="L68" s="56"/>
    </row>
    <row r="69" spans="1:12" ht="12.75">
      <c r="A69" s="54"/>
      <c r="B69" s="54"/>
      <c r="C69" s="56"/>
      <c r="D69" s="56"/>
      <c r="E69" s="56"/>
      <c r="F69" s="56"/>
      <c r="G69" s="56"/>
      <c r="H69" s="244"/>
      <c r="I69" s="56"/>
      <c r="J69" s="56"/>
      <c r="K69" s="56"/>
      <c r="L69" s="56"/>
    </row>
    <row r="70" spans="1:12" ht="12.75">
      <c r="A70" s="54"/>
      <c r="B70" s="54"/>
      <c r="C70" s="56"/>
      <c r="D70" s="56"/>
      <c r="E70" s="56"/>
      <c r="F70" s="56"/>
      <c r="G70" s="56"/>
      <c r="H70" s="244"/>
      <c r="I70" s="56"/>
      <c r="J70" s="56"/>
      <c r="K70" s="56"/>
      <c r="L70" s="56"/>
    </row>
    <row r="71" spans="1:12" ht="12.75">
      <c r="A71" s="54"/>
      <c r="B71" s="54"/>
      <c r="C71" s="56"/>
      <c r="D71" s="56"/>
      <c r="E71" s="56"/>
      <c r="F71" s="56"/>
      <c r="G71" s="56"/>
      <c r="H71" s="244"/>
      <c r="I71" s="56"/>
      <c r="J71" s="56"/>
      <c r="K71" s="56"/>
      <c r="L71" s="56"/>
    </row>
    <row r="72" spans="1:12" ht="12.75">
      <c r="A72" s="54"/>
      <c r="B72" s="54"/>
      <c r="C72" s="56"/>
      <c r="D72" s="56"/>
      <c r="E72" s="56"/>
      <c r="F72" s="56"/>
      <c r="G72" s="56"/>
      <c r="H72" s="244"/>
      <c r="I72" s="56"/>
      <c r="J72" s="56"/>
      <c r="K72" s="56"/>
      <c r="L72" s="56"/>
    </row>
    <row r="73" spans="1:12" ht="12.75">
      <c r="A73" s="54"/>
      <c r="B73" s="54"/>
      <c r="C73" s="56"/>
      <c r="D73" s="56"/>
      <c r="E73" s="56"/>
      <c r="F73" s="56"/>
      <c r="G73" s="56"/>
      <c r="H73" s="244"/>
      <c r="I73" s="56"/>
      <c r="J73" s="56"/>
      <c r="K73" s="56"/>
      <c r="L73" s="56"/>
    </row>
    <row r="74" spans="1:12" ht="12.75">
      <c r="A74" s="54"/>
      <c r="B74" s="54"/>
      <c r="C74" s="56"/>
      <c r="D74" s="56"/>
      <c r="E74" s="56"/>
      <c r="F74" s="56"/>
      <c r="G74" s="56"/>
      <c r="H74" s="244"/>
      <c r="I74" s="56"/>
      <c r="J74" s="56"/>
      <c r="K74" s="56"/>
      <c r="L74" s="56"/>
    </row>
    <row r="75" spans="1:12" ht="12.75">
      <c r="A75" s="54"/>
      <c r="B75" s="54"/>
      <c r="C75" s="56"/>
      <c r="D75" s="56"/>
      <c r="E75" s="56"/>
      <c r="F75" s="56"/>
      <c r="G75" s="56"/>
      <c r="H75" s="244"/>
      <c r="I75" s="56"/>
      <c r="J75" s="56"/>
      <c r="K75" s="56"/>
      <c r="L75" s="56"/>
    </row>
    <row r="76" spans="1:12" ht="12.75">
      <c r="A76" s="54"/>
      <c r="B76" s="54"/>
      <c r="C76" s="56"/>
      <c r="D76" s="56"/>
      <c r="E76" s="56"/>
      <c r="F76" s="56"/>
      <c r="G76" s="56"/>
      <c r="H76" s="244"/>
      <c r="I76" s="56"/>
      <c r="J76" s="56"/>
      <c r="K76" s="56"/>
      <c r="L76" s="56"/>
    </row>
    <row r="77" spans="1:12" ht="12.75">
      <c r="A77" s="54"/>
      <c r="B77" s="54"/>
      <c r="C77" s="56"/>
      <c r="D77" s="56"/>
      <c r="E77" s="56"/>
      <c r="F77" s="56"/>
      <c r="G77" s="56"/>
      <c r="H77" s="244"/>
      <c r="I77" s="56"/>
      <c r="J77" s="56"/>
      <c r="K77" s="56"/>
      <c r="L77" s="56"/>
    </row>
    <row r="78" spans="1:12" ht="12.75">
      <c r="A78" s="54"/>
      <c r="B78" s="54"/>
      <c r="C78" s="56"/>
      <c r="D78" s="56"/>
      <c r="E78" s="56"/>
      <c r="F78" s="56"/>
      <c r="G78" s="56"/>
      <c r="H78" s="244"/>
      <c r="I78" s="56"/>
      <c r="J78" s="56"/>
      <c r="K78" s="56"/>
      <c r="L78" s="56"/>
    </row>
    <row r="79" spans="1:12" ht="12.75">
      <c r="A79" s="54"/>
      <c r="B79" s="54"/>
      <c r="C79" s="56"/>
      <c r="D79" s="56"/>
      <c r="E79" s="56"/>
      <c r="F79" s="56"/>
      <c r="G79" s="56"/>
      <c r="H79" s="244"/>
      <c r="I79" s="56"/>
      <c r="J79" s="56"/>
      <c r="K79" s="56"/>
      <c r="L79" s="56"/>
    </row>
    <row r="80" spans="1:12" ht="12.75">
      <c r="A80" s="54"/>
      <c r="B80" s="54"/>
      <c r="C80" s="56"/>
      <c r="D80" s="56"/>
      <c r="E80" s="56"/>
      <c r="F80" s="56"/>
      <c r="G80" s="56"/>
      <c r="H80" s="244"/>
      <c r="I80" s="56"/>
      <c r="J80" s="56"/>
      <c r="K80" s="56"/>
      <c r="L80" s="56"/>
    </row>
    <row r="81" spans="1:12" ht="12.75">
      <c r="A81" s="54"/>
      <c r="B81" s="54"/>
      <c r="C81" s="56"/>
      <c r="D81" s="56"/>
      <c r="E81" s="56"/>
      <c r="F81" s="56"/>
      <c r="G81" s="56"/>
      <c r="H81" s="244"/>
      <c r="I81" s="56"/>
      <c r="J81" s="56"/>
      <c r="K81" s="56"/>
      <c r="L81" s="56"/>
    </row>
    <row r="82" spans="1:12" ht="12.75">
      <c r="A82" s="54"/>
      <c r="B82" s="54"/>
      <c r="C82" s="56"/>
      <c r="D82" s="56"/>
      <c r="E82" s="56"/>
      <c r="F82" s="56"/>
      <c r="G82" s="56"/>
      <c r="H82" s="244"/>
      <c r="I82" s="56"/>
      <c r="J82" s="56"/>
      <c r="K82" s="56"/>
      <c r="L82" s="56"/>
    </row>
    <row r="83" spans="1:12" ht="12.75">
      <c r="A83" s="54"/>
      <c r="B83" s="54"/>
      <c r="C83" s="56"/>
      <c r="D83" s="56"/>
      <c r="E83" s="56"/>
      <c r="F83" s="56"/>
      <c r="G83" s="56"/>
      <c r="H83" s="244"/>
      <c r="I83" s="56"/>
      <c r="J83" s="56"/>
      <c r="K83" s="56"/>
      <c r="L83" s="56"/>
    </row>
    <row r="84" spans="1:12" ht="12.75">
      <c r="A84" s="54"/>
      <c r="B84" s="54"/>
      <c r="C84" s="56"/>
      <c r="D84" s="56"/>
      <c r="E84" s="56"/>
      <c r="F84" s="56"/>
      <c r="G84" s="56"/>
      <c r="H84" s="244"/>
      <c r="I84" s="56"/>
      <c r="J84" s="56"/>
      <c r="K84" s="56"/>
      <c r="L84" s="56"/>
    </row>
    <row r="85" spans="1:12" ht="12.75">
      <c r="A85" s="54"/>
      <c r="B85" s="54"/>
      <c r="C85" s="56"/>
      <c r="D85" s="56"/>
      <c r="E85" s="56"/>
      <c r="F85" s="56"/>
      <c r="G85" s="56"/>
      <c r="H85" s="244"/>
      <c r="I85" s="56"/>
      <c r="J85" s="56"/>
      <c r="K85" s="56"/>
      <c r="L85" s="56"/>
    </row>
    <row r="86" spans="1:12" ht="12.75">
      <c r="A86" s="54"/>
      <c r="B86" s="54"/>
      <c r="C86" s="56"/>
      <c r="D86" s="56"/>
      <c r="E86" s="56"/>
      <c r="F86" s="56"/>
      <c r="G86" s="56"/>
      <c r="H86" s="244"/>
      <c r="I86" s="56"/>
      <c r="J86" s="56"/>
      <c r="K86" s="56"/>
      <c r="L86" s="56"/>
    </row>
    <row r="87" spans="1:12" ht="12.75">
      <c r="A87" s="54"/>
      <c r="B87" s="54"/>
      <c r="C87" s="56"/>
      <c r="D87" s="56"/>
      <c r="E87" s="56"/>
      <c r="F87" s="56"/>
      <c r="G87" s="56"/>
      <c r="H87" s="244"/>
      <c r="I87" s="56"/>
      <c r="J87" s="56"/>
      <c r="K87" s="56"/>
      <c r="L87" s="56"/>
    </row>
    <row r="88" spans="1:12" ht="12.75">
      <c r="A88" s="54"/>
      <c r="B88" s="54"/>
      <c r="C88" s="56"/>
      <c r="D88" s="56"/>
      <c r="E88" s="56"/>
      <c r="F88" s="56"/>
      <c r="G88" s="56"/>
      <c r="H88" s="244"/>
      <c r="I88" s="56"/>
      <c r="J88" s="56"/>
      <c r="K88" s="56"/>
      <c r="L88" s="56"/>
    </row>
    <row r="89" spans="1:12" ht="12.75">
      <c r="A89" s="54"/>
      <c r="B89" s="54"/>
      <c r="C89" s="56"/>
      <c r="D89" s="56"/>
      <c r="E89" s="56"/>
      <c r="F89" s="56"/>
      <c r="G89" s="56"/>
      <c r="H89" s="244"/>
      <c r="I89" s="56"/>
      <c r="J89" s="56"/>
      <c r="K89" s="56"/>
      <c r="L89" s="56"/>
    </row>
    <row r="90" spans="1:12" ht="12.75">
      <c r="A90" s="54"/>
      <c r="B90" s="54"/>
      <c r="C90" s="56"/>
      <c r="D90" s="56"/>
      <c r="E90" s="56"/>
      <c r="F90" s="56"/>
      <c r="G90" s="56"/>
      <c r="H90" s="244"/>
      <c r="I90" s="56"/>
      <c r="J90" s="56"/>
      <c r="K90" s="56"/>
      <c r="L90" s="56"/>
    </row>
    <row r="91" spans="1:12" ht="12.75">
      <c r="A91" s="54"/>
      <c r="B91" s="54"/>
      <c r="C91" s="56"/>
      <c r="D91" s="56"/>
      <c r="E91" s="56"/>
      <c r="F91" s="56"/>
      <c r="G91" s="56"/>
      <c r="H91" s="244"/>
      <c r="I91" s="56"/>
      <c r="J91" s="56"/>
      <c r="K91" s="56"/>
      <c r="L91" s="56"/>
    </row>
    <row r="92" spans="1:12" ht="12.75">
      <c r="A92" s="54"/>
      <c r="B92" s="54"/>
      <c r="C92" s="56"/>
      <c r="D92" s="56"/>
      <c r="E92" s="56"/>
      <c r="F92" s="56"/>
      <c r="G92" s="56"/>
      <c r="H92" s="244"/>
      <c r="I92" s="56"/>
      <c r="J92" s="56"/>
      <c r="K92" s="56"/>
      <c r="L92" s="56"/>
    </row>
    <row r="93" spans="1:12" ht="12.75">
      <c r="A93" s="54"/>
      <c r="B93" s="54"/>
      <c r="C93" s="56"/>
      <c r="D93" s="56"/>
      <c r="E93" s="56"/>
      <c r="F93" s="56"/>
      <c r="G93" s="56"/>
      <c r="H93" s="244"/>
      <c r="I93" s="56"/>
      <c r="J93" s="56"/>
      <c r="K93" s="56"/>
      <c r="L93" s="56"/>
    </row>
    <row r="94" spans="1:12" ht="12.75">
      <c r="A94" s="54"/>
      <c r="B94" s="54"/>
      <c r="C94" s="56"/>
      <c r="D94" s="56"/>
      <c r="E94" s="56"/>
      <c r="F94" s="56"/>
      <c r="G94" s="56"/>
      <c r="H94" s="244"/>
      <c r="I94" s="56"/>
      <c r="J94" s="56"/>
      <c r="K94" s="56"/>
      <c r="L94" s="56"/>
    </row>
    <row r="95" spans="1:12" ht="12.75">
      <c r="A95" s="54"/>
      <c r="B95" s="54"/>
      <c r="C95" s="56"/>
      <c r="D95" s="56"/>
      <c r="E95" s="56"/>
      <c r="F95" s="56"/>
      <c r="G95" s="56"/>
      <c r="H95" s="244"/>
      <c r="I95" s="56"/>
      <c r="J95" s="56"/>
      <c r="K95" s="56"/>
      <c r="L95" s="56"/>
    </row>
    <row r="96" spans="1:12" ht="12.75">
      <c r="A96" s="54"/>
      <c r="B96" s="54"/>
      <c r="C96" s="56"/>
      <c r="D96" s="56"/>
      <c r="E96" s="56"/>
      <c r="F96" s="56"/>
      <c r="G96" s="56"/>
      <c r="H96" s="244"/>
      <c r="I96" s="56"/>
      <c r="J96" s="56"/>
      <c r="K96" s="56"/>
      <c r="L96" s="56"/>
    </row>
    <row r="97" spans="1:12" ht="12.75">
      <c r="A97" s="54"/>
      <c r="B97" s="54"/>
      <c r="C97" s="56"/>
      <c r="D97" s="56"/>
      <c r="E97" s="56"/>
      <c r="F97" s="56"/>
      <c r="G97" s="56"/>
      <c r="H97" s="244"/>
      <c r="I97" s="56"/>
      <c r="J97" s="56"/>
      <c r="K97" s="56"/>
      <c r="L97" s="56"/>
    </row>
    <row r="98" spans="1:12" ht="12.75">
      <c r="A98" s="54"/>
      <c r="B98" s="54"/>
      <c r="C98" s="56"/>
      <c r="D98" s="56"/>
      <c r="E98" s="56"/>
      <c r="F98" s="56"/>
      <c r="G98" s="56"/>
      <c r="H98" s="244"/>
      <c r="I98" s="56"/>
      <c r="J98" s="56"/>
      <c r="K98" s="56"/>
      <c r="L98" s="56"/>
    </row>
    <row r="99" spans="1:12" ht="12.75">
      <c r="A99" s="54"/>
      <c r="B99" s="54"/>
      <c r="C99" s="56"/>
      <c r="D99" s="56"/>
      <c r="E99" s="56"/>
      <c r="F99" s="56"/>
      <c r="G99" s="56"/>
      <c r="H99" s="244"/>
      <c r="I99" s="56"/>
      <c r="J99" s="56"/>
      <c r="K99" s="56"/>
      <c r="L99" s="56"/>
    </row>
    <row r="100" spans="1:12" ht="12.75">
      <c r="A100" s="54"/>
      <c r="B100" s="54"/>
      <c r="C100" s="56"/>
      <c r="D100" s="56"/>
      <c r="E100" s="56"/>
      <c r="F100" s="56"/>
      <c r="G100" s="56"/>
      <c r="H100" s="244"/>
      <c r="I100" s="56"/>
      <c r="J100" s="56"/>
      <c r="K100" s="56"/>
      <c r="L100" s="56"/>
    </row>
    <row r="101" spans="1:12" ht="12.75">
      <c r="A101" s="54"/>
      <c r="B101" s="54"/>
      <c r="C101" s="56"/>
      <c r="D101" s="56"/>
      <c r="E101" s="56"/>
      <c r="F101" s="56"/>
      <c r="G101" s="56"/>
      <c r="H101" s="244"/>
      <c r="I101" s="56"/>
      <c r="J101" s="56"/>
      <c r="K101" s="56"/>
      <c r="L101" s="56"/>
    </row>
    <row r="102" spans="1:12" ht="12.75">
      <c r="A102" s="54"/>
      <c r="B102" s="54"/>
      <c r="C102" s="56"/>
      <c r="D102" s="56"/>
      <c r="E102" s="56"/>
      <c r="F102" s="56"/>
      <c r="G102" s="56"/>
      <c r="H102" s="244"/>
      <c r="I102" s="56"/>
      <c r="J102" s="56"/>
      <c r="K102" s="56"/>
      <c r="L102" s="56"/>
    </row>
    <row r="103" spans="1:12" ht="12.75">
      <c r="A103" s="54"/>
      <c r="B103" s="54"/>
      <c r="C103" s="56"/>
      <c r="D103" s="56"/>
      <c r="E103" s="56"/>
      <c r="F103" s="56"/>
      <c r="G103" s="56"/>
      <c r="H103" s="244"/>
      <c r="I103" s="56"/>
      <c r="J103" s="56"/>
      <c r="K103" s="56"/>
      <c r="L103" s="56"/>
    </row>
    <row r="104" spans="1:12" ht="12.75">
      <c r="A104" s="54"/>
      <c r="B104" s="54"/>
      <c r="C104" s="56"/>
      <c r="D104" s="56"/>
      <c r="E104" s="56"/>
      <c r="F104" s="56"/>
      <c r="G104" s="56"/>
      <c r="H104" s="244"/>
      <c r="I104" s="56"/>
      <c r="J104" s="56"/>
      <c r="K104" s="56"/>
      <c r="L104" s="56"/>
    </row>
    <row r="105" spans="1:12" ht="12.75">
      <c r="A105" s="54"/>
      <c r="B105" s="54"/>
      <c r="C105" s="56"/>
      <c r="D105" s="56"/>
      <c r="E105" s="56"/>
      <c r="F105" s="56"/>
      <c r="G105" s="56"/>
      <c r="H105" s="244"/>
      <c r="I105" s="56"/>
      <c r="J105" s="56"/>
      <c r="K105" s="56"/>
      <c r="L105" s="56"/>
    </row>
    <row r="106" spans="1:12" ht="12.75">
      <c r="A106" s="54"/>
      <c r="B106" s="54"/>
      <c r="C106" s="56"/>
      <c r="D106" s="56"/>
      <c r="E106" s="56"/>
      <c r="F106" s="56"/>
      <c r="G106" s="56"/>
      <c r="H106" s="244"/>
      <c r="I106" s="56"/>
      <c r="J106" s="56"/>
      <c r="K106" s="56"/>
      <c r="L106" s="56"/>
    </row>
    <row r="107" spans="1:12" ht="12.75">
      <c r="A107" s="54"/>
      <c r="B107" s="54"/>
      <c r="C107" s="56"/>
      <c r="D107" s="56"/>
      <c r="E107" s="56"/>
      <c r="F107" s="56"/>
      <c r="G107" s="56"/>
      <c r="H107" s="244"/>
      <c r="I107" s="56"/>
      <c r="J107" s="56"/>
      <c r="K107" s="56"/>
      <c r="L107" s="56"/>
    </row>
    <row r="108" spans="1:12" ht="12.75">
      <c r="A108" s="54"/>
      <c r="B108" s="54"/>
      <c r="C108" s="56"/>
      <c r="D108" s="56"/>
      <c r="E108" s="56"/>
      <c r="F108" s="56"/>
      <c r="G108" s="56"/>
      <c r="H108" s="244"/>
      <c r="I108" s="56"/>
      <c r="J108" s="56"/>
      <c r="K108" s="56"/>
      <c r="L108" s="56"/>
    </row>
    <row r="109" spans="1:12" ht="12.75">
      <c r="A109" s="54"/>
      <c r="B109" s="54"/>
      <c r="C109" s="56"/>
      <c r="D109" s="56"/>
      <c r="E109" s="56"/>
      <c r="F109" s="56"/>
      <c r="G109" s="56"/>
      <c r="H109" s="244"/>
      <c r="I109" s="56"/>
      <c r="J109" s="56"/>
      <c r="K109" s="56"/>
      <c r="L109" s="56"/>
    </row>
    <row r="110" spans="1:12" ht="12.75">
      <c r="A110" s="54"/>
      <c r="B110" s="54"/>
      <c r="C110" s="56"/>
      <c r="D110" s="56"/>
      <c r="E110" s="56"/>
      <c r="F110" s="56"/>
      <c r="G110" s="56"/>
      <c r="H110" s="244"/>
      <c r="I110" s="56"/>
      <c r="J110" s="56"/>
      <c r="K110" s="56"/>
      <c r="L110" s="56"/>
    </row>
    <row r="111" spans="1:12" ht="12.75">
      <c r="A111" s="54"/>
      <c r="B111" s="54"/>
      <c r="C111" s="56"/>
      <c r="D111" s="56"/>
      <c r="E111" s="56"/>
      <c r="F111" s="56"/>
      <c r="G111" s="56"/>
      <c r="H111" s="244"/>
      <c r="I111" s="56"/>
      <c r="J111" s="56"/>
      <c r="K111" s="56"/>
      <c r="L111" s="56"/>
    </row>
    <row r="112" spans="1:12" ht="12.75">
      <c r="A112" s="54"/>
      <c r="B112" s="54"/>
      <c r="C112" s="56"/>
      <c r="D112" s="56"/>
      <c r="E112" s="56"/>
      <c r="F112" s="56"/>
      <c r="G112" s="56"/>
      <c r="H112" s="244"/>
      <c r="I112" s="56"/>
      <c r="J112" s="56"/>
      <c r="K112" s="56"/>
      <c r="L112" s="56"/>
    </row>
    <row r="113" spans="1:12" ht="12.75">
      <c r="A113" s="54"/>
      <c r="B113" s="54"/>
      <c r="C113" s="56"/>
      <c r="D113" s="56"/>
      <c r="E113" s="56"/>
      <c r="F113" s="56"/>
      <c r="G113" s="56"/>
      <c r="H113" s="244"/>
      <c r="I113" s="56"/>
      <c r="J113" s="56"/>
      <c r="K113" s="56"/>
      <c r="L113" s="56"/>
    </row>
    <row r="114" spans="1:12" ht="12.75">
      <c r="A114" s="54"/>
      <c r="B114" s="54"/>
      <c r="C114" s="56"/>
      <c r="D114" s="56"/>
      <c r="E114" s="56"/>
      <c r="F114" s="56"/>
      <c r="G114" s="56"/>
      <c r="H114" s="244"/>
      <c r="I114" s="56"/>
      <c r="J114" s="56"/>
      <c r="K114" s="56"/>
      <c r="L114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19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196" customWidth="1"/>
    <col min="3" max="3" width="20.7109375" style="196" customWidth="1"/>
    <col min="4" max="7" width="7.7109375" style="196" customWidth="1"/>
    <col min="8" max="8" width="9.7109375" style="196" customWidth="1"/>
    <col min="9" max="12" width="9.7109375" style="2" customWidth="1"/>
    <col min="13" max="13" width="9.7109375" style="113" customWidth="1"/>
    <col min="14" max="14" width="1.1484375" style="196" customWidth="1"/>
    <col min="15" max="15" width="63.28125" style="196" customWidth="1"/>
    <col min="16" max="255" width="8.421875" style="196" customWidth="1"/>
  </cols>
  <sheetData>
    <row r="1" spans="1:16" ht="12.75">
      <c r="A1" s="56"/>
      <c r="B1" s="56"/>
      <c r="C1" s="56"/>
      <c r="D1" s="56"/>
      <c r="E1" s="56"/>
      <c r="F1" s="56"/>
      <c r="G1" s="56"/>
      <c r="H1" s="56"/>
      <c r="I1" s="243"/>
      <c r="J1" s="243"/>
      <c r="K1" s="243"/>
      <c r="L1" s="243"/>
      <c r="M1" s="244"/>
      <c r="N1" s="56"/>
      <c r="O1" s="56"/>
      <c r="P1" s="56"/>
    </row>
    <row r="2" spans="1:16" ht="15.75">
      <c r="A2" s="56"/>
      <c r="B2" s="47"/>
      <c r="C2" s="247" t="s">
        <v>1166</v>
      </c>
      <c r="D2" s="52"/>
      <c r="E2" s="52"/>
      <c r="F2" s="52"/>
      <c r="G2" s="52"/>
      <c r="H2" s="52"/>
      <c r="I2" s="194"/>
      <c r="J2" s="194"/>
      <c r="K2" s="194"/>
      <c r="L2" s="194"/>
      <c r="M2" s="98"/>
      <c r="N2" s="83"/>
      <c r="O2" s="56"/>
      <c r="P2" s="56"/>
    </row>
    <row r="3" spans="1:16" ht="15.75">
      <c r="A3" s="56"/>
      <c r="B3" s="47"/>
      <c r="C3" s="247"/>
      <c r="D3" s="52"/>
      <c r="E3" s="52"/>
      <c r="F3" s="52"/>
      <c r="G3" s="52"/>
      <c r="H3" s="52"/>
      <c r="I3" s="194"/>
      <c r="J3" s="194"/>
      <c r="K3" s="194"/>
      <c r="L3" s="194"/>
      <c r="M3" s="98"/>
      <c r="N3" s="83"/>
      <c r="O3" s="56"/>
      <c r="P3" s="56"/>
    </row>
    <row r="4" spans="1:16" ht="12.75">
      <c r="A4" s="56"/>
      <c r="B4" s="47"/>
      <c r="C4" s="40" t="s">
        <v>1167</v>
      </c>
      <c r="D4" s="311" t="s">
        <v>1168</v>
      </c>
      <c r="E4" s="230"/>
      <c r="F4" s="231"/>
      <c r="G4" s="52"/>
      <c r="H4" s="52"/>
      <c r="I4" s="194"/>
      <c r="J4" s="194"/>
      <c r="K4" s="194"/>
      <c r="L4" s="194"/>
      <c r="M4" s="98"/>
      <c r="N4" s="83"/>
      <c r="O4" s="56"/>
      <c r="P4" s="56"/>
    </row>
    <row r="5" spans="1:16" ht="12.75">
      <c r="A5" s="56"/>
      <c r="B5" s="47"/>
      <c r="C5" s="52"/>
      <c r="D5" s="52"/>
      <c r="E5" s="52"/>
      <c r="F5" s="52"/>
      <c r="G5" s="52"/>
      <c r="H5" s="52"/>
      <c r="I5" s="194"/>
      <c r="J5" s="194"/>
      <c r="K5" s="194"/>
      <c r="L5" s="194"/>
      <c r="M5" s="98"/>
      <c r="N5" s="83"/>
      <c r="O5" s="56"/>
      <c r="P5" s="56"/>
    </row>
    <row r="6" spans="1:16" ht="12.75">
      <c r="A6" s="56"/>
      <c r="B6" s="47"/>
      <c r="C6" s="205" t="s">
        <v>373</v>
      </c>
      <c r="D6" s="210"/>
      <c r="E6" s="212"/>
      <c r="F6" s="52"/>
      <c r="G6" s="52"/>
      <c r="H6" s="52"/>
      <c r="I6" s="194"/>
      <c r="J6" s="194"/>
      <c r="K6" s="194"/>
      <c r="L6" s="194"/>
      <c r="M6" s="98"/>
      <c r="N6" s="83"/>
      <c r="O6" s="56"/>
      <c r="P6" s="56"/>
    </row>
    <row r="7" spans="1:16" ht="12.75">
      <c r="A7" s="56"/>
      <c r="B7" s="47"/>
      <c r="C7" s="177" t="s">
        <v>903</v>
      </c>
      <c r="D7" s="25">
        <v>12</v>
      </c>
      <c r="E7" s="169"/>
      <c r="F7" s="52"/>
      <c r="G7" s="52"/>
      <c r="H7" s="52"/>
      <c r="I7" s="194"/>
      <c r="J7" s="194"/>
      <c r="K7" s="194"/>
      <c r="L7" s="194"/>
      <c r="M7" s="98"/>
      <c r="N7" s="83"/>
      <c r="O7" s="56"/>
      <c r="P7" s="56"/>
    </row>
    <row r="8" spans="1:16" ht="12.75">
      <c r="A8" s="56"/>
      <c r="B8" s="47"/>
      <c r="C8" s="177" t="s">
        <v>1169</v>
      </c>
      <c r="D8" s="25">
        <v>1</v>
      </c>
      <c r="E8" s="150" t="str">
        <f>IF(D8=0,"No","Yes")</f>
        <v>Yes</v>
      </c>
      <c r="F8" s="52"/>
      <c r="G8" s="52"/>
      <c r="H8" s="52"/>
      <c r="I8" s="194"/>
      <c r="J8" s="194"/>
      <c r="K8" s="194"/>
      <c r="L8" s="194"/>
      <c r="M8" s="98"/>
      <c r="N8" s="83"/>
      <c r="O8" s="56"/>
      <c r="P8" s="56"/>
    </row>
    <row r="9" spans="1:16" ht="12.75">
      <c r="A9" s="56"/>
      <c r="B9" s="47"/>
      <c r="C9" s="177" t="s">
        <v>1170</v>
      </c>
      <c r="D9" s="25">
        <v>48</v>
      </c>
      <c r="E9" s="150">
        <f>IF(D8=1,7,D9)</f>
        <v>7</v>
      </c>
      <c r="F9" s="52"/>
      <c r="G9" s="52"/>
      <c r="H9" s="52"/>
      <c r="I9" s="194"/>
      <c r="J9" s="194"/>
      <c r="K9" s="194"/>
      <c r="L9" s="194"/>
      <c r="M9" s="98"/>
      <c r="N9" s="83"/>
      <c r="O9" s="56"/>
      <c r="P9" s="56"/>
    </row>
    <row r="10" spans="1:16" ht="12.75">
      <c r="A10" s="56"/>
      <c r="B10" s="47"/>
      <c r="C10" s="177" t="s">
        <v>1171</v>
      </c>
      <c r="D10" s="30">
        <f>ROUND((((6*E9)/PI())^(1/3))*0.52,2)</f>
        <v>1.23</v>
      </c>
      <c r="E10" s="170"/>
      <c r="F10" s="195"/>
      <c r="G10" s="195"/>
      <c r="H10" s="195"/>
      <c r="I10" s="194"/>
      <c r="J10" s="194"/>
      <c r="K10" s="194"/>
      <c r="L10" s="194"/>
      <c r="M10" s="98"/>
      <c r="N10" s="83"/>
      <c r="O10" s="56"/>
      <c r="P10" s="56"/>
    </row>
    <row r="11" spans="1:16" ht="12.75">
      <c r="A11" s="56"/>
      <c r="B11" s="47"/>
      <c r="C11" s="177" t="s">
        <v>1172</v>
      </c>
      <c r="D11" s="30">
        <f>ROUND((PI()*(((6*E9)/PI())^(1/3))^2)*1.4,2)</f>
        <v>24.77</v>
      </c>
      <c r="E11" s="170"/>
      <c r="F11" s="195"/>
      <c r="G11" s="195"/>
      <c r="H11" s="52"/>
      <c r="I11" s="194"/>
      <c r="J11" s="194"/>
      <c r="K11" s="194"/>
      <c r="L11" s="194"/>
      <c r="M11" s="98"/>
      <c r="N11" s="83"/>
      <c r="O11" s="56"/>
      <c r="P11" s="56"/>
    </row>
    <row r="12" spans="1:16" ht="12.75">
      <c r="A12" s="56"/>
      <c r="B12" s="47"/>
      <c r="C12" s="179" t="s">
        <v>1173</v>
      </c>
      <c r="D12" s="31"/>
      <c r="E12" s="171"/>
      <c r="F12" s="52"/>
      <c r="G12" s="52"/>
      <c r="H12" s="52"/>
      <c r="I12" s="194"/>
      <c r="J12" s="194"/>
      <c r="K12" s="194"/>
      <c r="L12" s="194"/>
      <c r="M12" s="98"/>
      <c r="N12" s="83"/>
      <c r="O12" s="56"/>
      <c r="P12" s="56"/>
    </row>
    <row r="13" spans="1:16" ht="12.75">
      <c r="A13" s="56"/>
      <c r="B13" s="47"/>
      <c r="C13" s="52"/>
      <c r="D13" s="52"/>
      <c r="E13" s="52"/>
      <c r="F13" s="52"/>
      <c r="G13" s="52"/>
      <c r="H13" s="52"/>
      <c r="I13" s="194"/>
      <c r="J13" s="194"/>
      <c r="K13" s="194"/>
      <c r="L13" s="194"/>
      <c r="M13" s="98"/>
      <c r="N13" s="83"/>
      <c r="O13" s="56"/>
      <c r="P13" s="56"/>
    </row>
    <row r="14" spans="1:16" ht="12.75">
      <c r="A14" s="56"/>
      <c r="B14" s="47"/>
      <c r="C14" s="183" t="s">
        <v>1174</v>
      </c>
      <c r="D14" s="184"/>
      <c r="E14" s="184"/>
      <c r="F14" s="184"/>
      <c r="G14" s="184"/>
      <c r="H14" s="184"/>
      <c r="I14" s="185"/>
      <c r="J14" s="185"/>
      <c r="K14" s="185"/>
      <c r="L14" s="185"/>
      <c r="M14" s="186"/>
      <c r="N14" s="83"/>
      <c r="O14" s="56"/>
      <c r="P14" s="56"/>
    </row>
    <row r="15" spans="1:16" ht="12.75">
      <c r="A15" s="56"/>
      <c r="B15" s="47"/>
      <c r="C15" s="187" t="s">
        <v>1175</v>
      </c>
      <c r="D15" s="188" t="s">
        <v>904</v>
      </c>
      <c r="E15" s="188" t="s">
        <v>1176</v>
      </c>
      <c r="F15" s="188" t="s">
        <v>906</v>
      </c>
      <c r="G15" s="188" t="s">
        <v>907</v>
      </c>
      <c r="H15" s="188" t="s">
        <v>909</v>
      </c>
      <c r="I15" s="189" t="s">
        <v>910</v>
      </c>
      <c r="J15" s="189" t="s">
        <v>911</v>
      </c>
      <c r="K15" s="189" t="s">
        <v>912</v>
      </c>
      <c r="L15" s="189" t="s">
        <v>913</v>
      </c>
      <c r="M15" s="190" t="s">
        <v>1142</v>
      </c>
      <c r="N15" s="83"/>
      <c r="O15" s="56"/>
      <c r="P15" s="56"/>
    </row>
    <row r="16" spans="1:16" ht="12.75">
      <c r="A16" s="56"/>
      <c r="B16" s="47"/>
      <c r="C16" s="177" t="s">
        <v>1177</v>
      </c>
      <c r="D16" s="65">
        <v>1</v>
      </c>
      <c r="E16" s="65">
        <v>0</v>
      </c>
      <c r="F16" s="65">
        <v>0</v>
      </c>
      <c r="G16" s="268"/>
      <c r="H16" s="30" t="str">
        <f>IF(D16=0,"",CONCATENATE(CHOOSE((E16+1),"SR","LR"),CHOOSE((F16+1)," 10kt"," 20kt"," 50kt"," 100kt"," 200kt"," 500kt")))</f>
        <v>SR 10kt</v>
      </c>
      <c r="I16" s="18">
        <f>IF(D16=0,0,CHOOSE((E16+1),VLOOKUP(F16,Tables!$D$327:$Z$332,(D7+1+1)),VLOOKUP(F16,Tables!$D$335:$Z$340,(D7+1+1)))*D16)</f>
        <v>0.16</v>
      </c>
      <c r="J16" s="18">
        <f>I16</f>
        <v>0.16</v>
      </c>
      <c r="K16" s="106"/>
      <c r="L16" s="106"/>
      <c r="M16" s="116">
        <f>IF(D16=0,0,CHOOSE((E16+1),CHOOSE((((F16+1)-1)+1),0.6,0.7,0.8,0.9,1.1,1.2),CHOOSE((((F16+1)-1)+1),6,7,8,9,11,12))*D16)</f>
        <v>0.6</v>
      </c>
      <c r="N16" s="83"/>
      <c r="O16" s="56"/>
      <c r="P16" s="56"/>
    </row>
    <row r="17" spans="1:16" ht="12.75">
      <c r="A17" s="56"/>
      <c r="B17" s="47"/>
      <c r="C17" s="177" t="s">
        <v>1178</v>
      </c>
      <c r="D17" s="268"/>
      <c r="E17" s="65">
        <v>0</v>
      </c>
      <c r="F17" s="268"/>
      <c r="G17" s="268"/>
      <c r="H17" s="30" t="str">
        <f>CHOOSE((E17+1),"Cmd","Semi","Ind")</f>
        <v>Cmd</v>
      </c>
      <c r="I17" s="18">
        <f>J17</f>
        <v>0.001</v>
      </c>
      <c r="J17" s="18">
        <v>0.001</v>
      </c>
      <c r="K17" s="106"/>
      <c r="L17" s="106"/>
      <c r="M17" s="116">
        <f>0.001</f>
        <v>0.001</v>
      </c>
      <c r="N17" s="83"/>
      <c r="O17" s="56"/>
      <c r="P17" s="56"/>
    </row>
    <row r="18" spans="1:16" ht="12.75">
      <c r="A18" s="56"/>
      <c r="B18" s="47"/>
      <c r="C18" s="175" t="s">
        <v>554</v>
      </c>
      <c r="D18" s="178" t="s">
        <v>904</v>
      </c>
      <c r="E18" s="178" t="s">
        <v>1176</v>
      </c>
      <c r="F18" s="178" t="s">
        <v>906</v>
      </c>
      <c r="G18" s="178" t="s">
        <v>907</v>
      </c>
      <c r="H18" s="178" t="s">
        <v>909</v>
      </c>
      <c r="I18" s="17" t="s">
        <v>910</v>
      </c>
      <c r="J18" s="17" t="s">
        <v>911</v>
      </c>
      <c r="K18" s="17" t="s">
        <v>912</v>
      </c>
      <c r="L18" s="17" t="s">
        <v>913</v>
      </c>
      <c r="M18" s="114" t="s">
        <v>1142</v>
      </c>
      <c r="N18" s="83"/>
      <c r="O18" s="56"/>
      <c r="P18" s="56"/>
    </row>
    <row r="19" spans="1:16" ht="12.75">
      <c r="A19" s="56"/>
      <c r="B19" s="47"/>
      <c r="C19" s="262" t="s">
        <v>976</v>
      </c>
      <c r="D19" s="65">
        <v>0</v>
      </c>
      <c r="E19" s="65">
        <v>0</v>
      </c>
      <c r="F19" s="65">
        <v>0</v>
      </c>
      <c r="G19" s="268"/>
      <c r="H19" s="274">
        <f>IF(D19=0,"",IF(D7&lt;5,"TL Violation",CHOOSE((F19+1),CHOOSE((E19+1),"5km","50km","500km","5,000km","50,000km","500,000km","1,000AU"),IF(C19&lt;6,"TL Violation",CHOOSE((E19+1),"50km","500km","5,000km","50,000km","500,000km","5,000,000km","10,000AU")),IF(C19&lt;7,"TL Violation",CHOOSE((E19+1),"500km","5,000km","50,000km","500,000km","5,000,000km","50,000,000km","100,000AU")))))</f>
      </c>
      <c r="I19" s="19">
        <f>IF(D19=0,0,VLOOKUP(E19,Tables!$D$151:$Z$157,(D7+1+1))*D19)</f>
        <v>0</v>
      </c>
      <c r="J19" s="19">
        <f>I19*2</f>
        <v>0</v>
      </c>
      <c r="K19" s="19">
        <f>L19*1000</f>
        <v>0</v>
      </c>
      <c r="L19" s="19">
        <f>CHOOSE((E19+1),0.000002,0.000017,0.000167,0.001667,0.016667,0.166667,0.2)*D19*0.1</f>
        <v>0</v>
      </c>
      <c r="M19" s="120">
        <f>CHOOSE((E19+1),0.000088,0.000269,0.000833,0.006852,0.034444,0.134444,0.15)*IF(D7&lt;6,3,IF(D7&lt;7,2,1))*D19/3*CHOOSE((F19+1),1,1.5,3)</f>
        <v>0</v>
      </c>
      <c r="N19" s="83"/>
      <c r="O19" s="56"/>
      <c r="P19" s="56"/>
    </row>
    <row r="20" spans="1:16" ht="12.75">
      <c r="A20" s="56"/>
      <c r="B20" s="47"/>
      <c r="C20" s="262" t="s">
        <v>978</v>
      </c>
      <c r="D20" s="65">
        <v>0</v>
      </c>
      <c r="E20" s="65">
        <v>0</v>
      </c>
      <c r="F20" s="65">
        <v>0</v>
      </c>
      <c r="G20" s="268"/>
      <c r="H20" s="274">
        <f>IF(D20=0,"",IF(D7&lt;5,"TL Violation",CHOOSE((E20+1),"5km","50km","500km","5,000km","50,000km","500,000km","1,000AU")))</f>
      </c>
      <c r="I20" s="19">
        <f>IF(D20=0,0,VLOOKUP(E20,Tables!$D$151:$Z$157,(D7+1+1))*D20)</f>
        <v>0</v>
      </c>
      <c r="J20" s="19">
        <f>I20*2</f>
        <v>0</v>
      </c>
      <c r="K20" s="19">
        <f>L20*1000</f>
        <v>0</v>
      </c>
      <c r="L20" s="19">
        <f>CHOOSE((E20+1),0.000002,0.000017,0.000167,0.001667,0.016667,0.166667,0.2)*D20</f>
        <v>0</v>
      </c>
      <c r="M20" s="120">
        <f>CHOOSE((E20+1),0.000088,0.000269,0.000833,0.006852,0.034444,0.134444,0.15)*IF(D7&lt;6,3,IF(D7&lt;7,2,1))*D20*CHOOSE((F20+1),1,1.5,3)</f>
        <v>0</v>
      </c>
      <c r="N20" s="83"/>
      <c r="O20" s="56"/>
      <c r="P20" s="56"/>
    </row>
    <row r="21" spans="1:16" ht="12.75">
      <c r="A21" s="56"/>
      <c r="B21" s="47"/>
      <c r="C21" s="262" t="s">
        <v>980</v>
      </c>
      <c r="D21" s="65">
        <v>1</v>
      </c>
      <c r="E21" s="65">
        <v>5</v>
      </c>
      <c r="F21" s="268"/>
      <c r="G21" s="268"/>
      <c r="H21" s="274" t="str">
        <f>IF(D21=0,"",IF(D7&lt;8,"TL Violation",CHOOSE((E21+1),"5km","50km","500km","5,000km","50,000km","500,000km","1,000AU")))</f>
        <v>500,000km</v>
      </c>
      <c r="I21" s="19">
        <f>IF(D21=0,0,VLOOKUP(E21,Tables!$D$160:$Z$166,(D7+1+1))*D21)</f>
        <v>0.035</v>
      </c>
      <c r="J21" s="19">
        <f>I21*2</f>
        <v>0.07</v>
      </c>
      <c r="K21" s="19">
        <f>D21</f>
        <v>1</v>
      </c>
      <c r="L21" s="19">
        <f>CHOOSE((E21+1),0.000054,0.000107,0.000215,0.00043,0.000852,0.002019,0.003)*D21</f>
        <v>0.002019</v>
      </c>
      <c r="M21" s="120">
        <f>CHOOSE((E21+1),0.001,0.005,0.012,0.022,0.037,0.071,0.18)*D21</f>
        <v>0.071</v>
      </c>
      <c r="N21" s="83"/>
      <c r="O21" s="56"/>
      <c r="P21" s="56"/>
    </row>
    <row r="22" spans="1:16" ht="12.75">
      <c r="A22" s="56"/>
      <c r="B22" s="47"/>
      <c r="C22" s="262" t="s">
        <v>982</v>
      </c>
      <c r="D22" s="65">
        <v>0</v>
      </c>
      <c r="E22" s="65">
        <v>0</v>
      </c>
      <c r="F22" s="268"/>
      <c r="G22" s="268"/>
      <c r="H22" s="274">
        <f>IF(D22=0,"",IF(D7&lt;15,"TL Violation",CHOOSE((E22+1),"500km","5,000km","50,000km","500,000km","1,000AU")))</f>
      </c>
      <c r="I22" s="19">
        <f>IF(D22=0,0,VLOOKUP(E22,Tables!$D$169:$Z$173,(D7+1+1))*D22)</f>
        <v>0</v>
      </c>
      <c r="J22" s="19">
        <f>I22*2</f>
        <v>0</v>
      </c>
      <c r="K22" s="19">
        <f>IF(D22=0,0,MAX(L22*10,1))</f>
        <v>0</v>
      </c>
      <c r="L22" s="19">
        <f>CHOOSE((E22+1),0.06,0.26,1.15,4.48,5)*D22</f>
        <v>0</v>
      </c>
      <c r="M22" s="120">
        <f>CHOOSE((E22+1),0.31,1.11,2.69,6.85,20)*D22</f>
        <v>0</v>
      </c>
      <c r="N22" s="83"/>
      <c r="O22" s="56"/>
      <c r="P22" s="56"/>
    </row>
    <row r="23" spans="1:16" ht="12.75">
      <c r="A23" s="56"/>
      <c r="B23" s="47"/>
      <c r="C23" s="262" t="s">
        <v>985</v>
      </c>
      <c r="D23" s="65">
        <v>0</v>
      </c>
      <c r="E23" s="65">
        <v>0</v>
      </c>
      <c r="F23" s="65">
        <v>0</v>
      </c>
      <c r="G23" s="65">
        <v>0</v>
      </c>
      <c r="H23" s="274" t="str">
        <f>IF(D23=0," ",CHOOSE((E23+1),12.5,13,13.5,14,14.5,15,15.5,16))</f>
        <v> </v>
      </c>
      <c r="I23" s="19">
        <f>IF(D23=0,0,CHOOSE((D7+1),0,0,0,0,0,0,0,0,4,4,2,2,1,1,1,1,1,1,1,1,1,1)*VLOOKUP(E23,Tables!$D$176:$Z$183,(D7+1+1)))*IF(G23&gt;0,2,1)*IF(F23&gt;0,1.2,1)</f>
        <v>0</v>
      </c>
      <c r="J23" s="19">
        <f>I23</f>
        <v>0</v>
      </c>
      <c r="K23" s="19">
        <f>IF(D23=0,0,IF(G23=1,0,VLOOKUP(E23,Tables!$D$176:$Z$183,(D7+1+1))))</f>
        <v>0</v>
      </c>
      <c r="L23" s="19">
        <f>IF(D23=0,0,IF(C23&lt;10,0.01,0.001)*VLOOKUP(E23,Tables!$D$176:$Z$183,(D7+1+1)))</f>
        <v>0</v>
      </c>
      <c r="M23" s="120">
        <f>IF(D23=0,0,IF(C23&lt;10,4,5)*VLOOKUP(E23,Tables!$D$176:$Z$183,(D7+1+1))*IF(F23&gt;0,2,1))</f>
        <v>0</v>
      </c>
      <c r="N23" s="83"/>
      <c r="O23" s="56"/>
      <c r="P23" s="56"/>
    </row>
    <row r="24" spans="1:16" ht="12.75">
      <c r="A24" s="56"/>
      <c r="B24" s="47"/>
      <c r="C24" s="262" t="s">
        <v>987</v>
      </c>
      <c r="D24" s="65">
        <v>0</v>
      </c>
      <c r="E24" s="65">
        <v>0</v>
      </c>
      <c r="F24" s="65">
        <v>0</v>
      </c>
      <c r="G24" s="65">
        <v>0</v>
      </c>
      <c r="H24" s="274" t="str">
        <f>IF(D24=0," ",CHOOSE((E24+1),12.5,13,13.5,14,14.5,15,15.5,16))</f>
        <v> </v>
      </c>
      <c r="I24" s="19">
        <f>IF(D24=0,0,CHOOSE((D7+1),0,0,0,0,0,0,0,0,4,4,2,2,1,1,1,1,1,1,1,1,1,1)*VLOOKUP(E24,Tables!$D$186:$Z$193,(D7+1+1)))*IF(G24&gt;0,2,1)*IF(F24&gt;0,1.2,1)*IF(E8165&gt;0,1.1,1)</f>
        <v>0</v>
      </c>
      <c r="J24" s="19">
        <f>I24</f>
        <v>0</v>
      </c>
      <c r="K24" s="19">
        <f>IF(D24=0,0,IF(G24=1,0,VLOOKUP(E24,Tables!$D$186:$Z$193,(D7+1+1))))*IF(E8165&gt;0,1.25,1)</f>
        <v>0</v>
      </c>
      <c r="L24" s="19">
        <f>IF(D24=0,0,IF(D7&lt;10,0.01,0.001)*VLOOKUP(E24,Tables!$D$186:$Z$193,(D7+1+1)))</f>
        <v>0</v>
      </c>
      <c r="M24" s="120">
        <f>IF(D24=0,0,IF(D7&lt;10,4,5)*VLOOKUP(E24,Tables!$D$186:$Z$193,(D7+1+1))*IF(F24&gt;0,2,1))</f>
        <v>0</v>
      </c>
      <c r="N24" s="83"/>
      <c r="O24" s="56"/>
      <c r="P24" s="56"/>
    </row>
    <row r="25" spans="1:16" ht="12.75">
      <c r="A25" s="56"/>
      <c r="B25" s="47"/>
      <c r="C25" s="262" t="s">
        <v>989</v>
      </c>
      <c r="D25" s="65">
        <v>0</v>
      </c>
      <c r="E25" s="65">
        <v>1</v>
      </c>
      <c r="F25" s="65">
        <v>0</v>
      </c>
      <c r="G25" s="65">
        <v>0</v>
      </c>
      <c r="H25" s="274" t="str">
        <f>IF(D25=0," ",CHOOSE((E25+1),12.5,13,13.5,14,14.5,15,15.5,16))</f>
        <v> </v>
      </c>
      <c r="I25" s="19">
        <f>IF(D25=0,0,CHOOSE((D7+1),0,0,0,0,0,0,0,0,4,4,2,2,1,1,1,1,1,1,1,1,1,1)*VLOOKUP(E25,Tables!$D$196:$Z$203,(D7+1+1)))*IF(G25&gt;0,2,1)*IF(F25&gt;0,1.2,1)</f>
        <v>0</v>
      </c>
      <c r="J25" s="19">
        <f>I25</f>
        <v>0</v>
      </c>
      <c r="K25" s="19">
        <f>IF(D25=0,0,IF(G25=1,0,VLOOKUP(E25,Tables!$D$196:$Z$203,(D7+1+1))))</f>
        <v>0</v>
      </c>
      <c r="L25" s="19">
        <f>IF(D25=0,0,IF(D7&lt;10,0.01,0.001)*VLOOKUP(E25,Tables!$D$196:$Z$203,(D7+1+1)))</f>
        <v>0</v>
      </c>
      <c r="M25" s="120">
        <f>IF(D25=0,0,IF(D7&lt;10,4,5)*VLOOKUP(E25,Tables!$D$196:$Z$203,(D7+1+1))*IF(F25&gt;0,2,1))</f>
        <v>0</v>
      </c>
      <c r="N25" s="83"/>
      <c r="O25" s="56"/>
      <c r="P25" s="56"/>
    </row>
    <row r="26" spans="1:16" ht="12.75">
      <c r="A26" s="56"/>
      <c r="B26" s="47"/>
      <c r="C26" s="262" t="s">
        <v>991</v>
      </c>
      <c r="D26" s="65">
        <v>0</v>
      </c>
      <c r="E26" s="65">
        <v>0</v>
      </c>
      <c r="F26" s="65">
        <v>0</v>
      </c>
      <c r="G26" s="65">
        <v>0</v>
      </c>
      <c r="H26" s="274" t="str">
        <f>IF(D26=0," ",CHOOSE((E26+1),4,5,6,7,8,9,10,11,11.5,12,12.5,13,13.5,14,14.5))</f>
        <v> </v>
      </c>
      <c r="I26" s="19">
        <f>IF(D26=0,0,VLOOKUP(E26,Tables!$D$206:$Z$220,(D7+1+1))*5)*IF(F26&gt;0,1.2,1)*IF(G26&gt;0,2,1)</f>
        <v>0</v>
      </c>
      <c r="J26" s="19">
        <f>I26*2</f>
        <v>0</v>
      </c>
      <c r="K26" s="19">
        <f>IF(D26=0,0,IF(G26=1,0,VLOOKUP(E26,Tables!$D$206:$Z$220,(D7+1+1))))</f>
        <v>0</v>
      </c>
      <c r="L26" s="19">
        <f>IF(D26=0,0,IF(C26&lt;9,0.5,1)*VLOOKUP(E26,Tables!$D$206:$Z$220,(D7+1+1)))</f>
        <v>0</v>
      </c>
      <c r="M26" s="120">
        <f>IF(D26=0,0,2)*VLOOKUP(E26,Tables!$D$206:$Z$220,(D7+1+1))*IF(F26&gt;0,2,1)</f>
        <v>0</v>
      </c>
      <c r="N26" s="83"/>
      <c r="O26" s="56"/>
      <c r="P26" s="56"/>
    </row>
    <row r="27" spans="1:16" ht="12.75">
      <c r="A27" s="56"/>
      <c r="B27" s="47"/>
      <c r="C27" s="262" t="s">
        <v>847</v>
      </c>
      <c r="D27" s="65">
        <v>0</v>
      </c>
      <c r="E27" s="65">
        <v>0</v>
      </c>
      <c r="F27" s="65">
        <v>0</v>
      </c>
      <c r="G27" s="65">
        <v>0</v>
      </c>
      <c r="H27" s="274" t="str">
        <f>IF(D27=0," ",CHOOSE((E27+1),13.5,14,14.5,15,15.5))</f>
        <v> </v>
      </c>
      <c r="I27" s="19">
        <f>IF(D27=0,0,VLOOKUP(E27,Tables!$D$223:$Z$227,(D7+1+1))*5)*IF(F27&gt;0,1.2,1)*IF(G27&gt;0,2,1)</f>
        <v>0</v>
      </c>
      <c r="J27" s="19">
        <f>I27*2</f>
        <v>0</v>
      </c>
      <c r="K27" s="19">
        <f>IF(D27=0,0,IF(G27=1,0,VLOOKUP(E27,Tables!$D$223:$Z$227,(D7+1+1))))</f>
        <v>0</v>
      </c>
      <c r="L27" s="19">
        <f>IF(D27=0,0,VLOOKUP(E27,Tables!$D$223:$Z$227,(D7+1+1)))</f>
        <v>0</v>
      </c>
      <c r="M27" s="120">
        <f>IF(D27=0,0,5)*VLOOKUP(E27,Tables!$D$223:$Z$227,(D7+1+1))*IF(F27&gt;0,2,1)</f>
        <v>0</v>
      </c>
      <c r="N27" s="83"/>
      <c r="O27" s="56"/>
      <c r="P27" s="56"/>
    </row>
    <row r="28" spans="1:16" ht="12.75">
      <c r="A28" s="56"/>
      <c r="B28" s="47"/>
      <c r="C28" s="262" t="s">
        <v>852</v>
      </c>
      <c r="D28" s="65">
        <v>0</v>
      </c>
      <c r="E28" s="268"/>
      <c r="F28" s="65">
        <v>0</v>
      </c>
      <c r="G28" s="268"/>
      <c r="H28" s="274" t="str">
        <f>IF(D28=0," ",IF(D7&lt;11,"TL Violation"," "))</f>
        <v> </v>
      </c>
      <c r="I28" s="19">
        <f>IF(D28=0,0,CHOOSE((D7+1),0,0,0,0,0,0,0,0,0,0,0,30,15,12,9,7,4,4,2,2,1,1)*D28)*IF(F28&gt;0,1.2,1)</f>
        <v>0</v>
      </c>
      <c r="J28" s="19">
        <f>IF(D28=0,0,CHOOSE((D7+1),0,0,0,0,0,0,0,0,0,0,0,10,5,3,2,1.5,1,1,0.8,0.8,0.7,0.7)*D28)</f>
        <v>0</v>
      </c>
      <c r="K28" s="19">
        <f>L28*100</f>
        <v>0</v>
      </c>
      <c r="L28" s="19">
        <f>IF(D28=0,0,CHOOSE((D7+1),0,0,0,0,0,0,0,0,0,0,0,2.5,1,0.9,0.5,0.4,0.3,0.3,0.2,0.2,0.1,0.1)*D28)</f>
        <v>0</v>
      </c>
      <c r="M28" s="120">
        <f>IF(D28=0,0,CHOOSE((D7+1),0,0,0,0,0,0,0,0,0,0,0,0.75,0.9,0.95,1,1.5,1.5,1.5,1.5,1.5,1.5,1.5)*D28)*IF(F28&gt;0,2,1)</f>
        <v>0</v>
      </c>
      <c r="N28" s="83"/>
      <c r="O28" s="56"/>
      <c r="P28" s="56"/>
    </row>
    <row r="29" spans="1:16" ht="12.75">
      <c r="A29" s="56"/>
      <c r="B29" s="47"/>
      <c r="C29" s="262" t="s">
        <v>995</v>
      </c>
      <c r="D29" s="65">
        <v>0</v>
      </c>
      <c r="E29" s="268"/>
      <c r="F29" s="65">
        <v>0</v>
      </c>
      <c r="G29" s="268"/>
      <c r="H29" s="274" t="str">
        <f>IF(D29=0," ",IF(D7&lt;10,"TL Violation"," "))</f>
        <v> </v>
      </c>
      <c r="I29" s="19">
        <f>IF(D29=0,0,CHOOSE((D7+1),0,0,0,0,0,0,0,0,0,0,100,100,10,10,5,5,2,2,1,1,1,1)*D29)</f>
        <v>0</v>
      </c>
      <c r="J29" s="19">
        <f>I29</f>
        <v>0</v>
      </c>
      <c r="K29" s="106"/>
      <c r="L29" s="19">
        <f>D29*0.01</f>
        <v>0</v>
      </c>
      <c r="M29" s="120">
        <f>IF(D29=0,0,CHOOSE((D7+1),0,0,0,0,0,0,0,0,0,0,1,1,2,2,3,3,4,4,5,5,5,5)*D29)*IF(F28&gt;0,2,1)</f>
        <v>0</v>
      </c>
      <c r="N29" s="83"/>
      <c r="O29" s="56"/>
      <c r="P29" s="56"/>
    </row>
    <row r="30" spans="1:16" ht="12.75">
      <c r="A30" s="56"/>
      <c r="B30" s="47"/>
      <c r="C30" s="262" t="s">
        <v>997</v>
      </c>
      <c r="D30" s="65">
        <v>0</v>
      </c>
      <c r="E30" s="268"/>
      <c r="F30" s="65">
        <v>0</v>
      </c>
      <c r="G30" s="268"/>
      <c r="H30" s="274" t="str">
        <f>IF(D30=0," ",CHOOSE((D7+1),"TL Violation","TL Violation","TL Violation","TL Violation","TL Violation","TL Violation","TL Violation","TL Violation","TL Violation","TL Violation","TL Violation","TL Violation","TL Violation","0.005km","0.025km","0.05km","0.5km","0.5km","5km","5km","50km","50lm"))</f>
        <v> </v>
      </c>
      <c r="I30" s="19">
        <f>IF(D30=0,0,IF(D7&lt;13,#VALUE!,0.002*D30))*IF(F28&gt;0,1.2,1)</f>
        <v>0</v>
      </c>
      <c r="J30" s="19">
        <f>IF(D30=0,0,CHOOSE((D7+1),0,0,0,0,0,0,0,0,0,0,0,0,0,0.005,0.005,0.005,0.005,0.005,0.004,0.004,0.003,0.003)*D30)</f>
        <v>0</v>
      </c>
      <c r="K30" s="19">
        <f>L30*100</f>
        <v>0</v>
      </c>
      <c r="L30" s="19">
        <f>IF(D30=0,0,CHOOSE((D7+1),0,0,0,0,0,0,0,0,0,0,0,0,0,0.004,0.005,0.006,0.007,0.007,0.009,0.009,0.01,0.01)*D30)</f>
        <v>0</v>
      </c>
      <c r="M30" s="120">
        <f>IF(D30=0,0,CHOOSE((D7+1),0,0,0,0,0,0,0,0,0,0,0,0,0,0.02,0.02,0.02,0.02,0.02,0.025,0.025,0.03,0.03)*D30)*IF(F28&gt;0,2,1)</f>
        <v>0</v>
      </c>
      <c r="N30" s="83"/>
      <c r="O30" s="56"/>
      <c r="P30" s="56"/>
    </row>
    <row r="31" spans="1:16" ht="12.75">
      <c r="A31" s="56"/>
      <c r="B31" s="47"/>
      <c r="C31" s="262" t="s">
        <v>1000</v>
      </c>
      <c r="D31" s="65">
        <v>0</v>
      </c>
      <c r="E31" s="65">
        <v>0</v>
      </c>
      <c r="F31" s="268"/>
      <c r="G31" s="268"/>
      <c r="H31" s="274">
        <f>IF(D31=0,"",IF(D7&lt;5,"TL Violation",CHOOSE((E31+1),"5km","50km","500km","5,000km","50,000km","500,000km","1,000AU")))</f>
      </c>
      <c r="I31" s="19">
        <f>IF(D31=0,0,VLOOKUP(E31,Tables!$D$151:$Z$157,(D7+1+1))*D31)</f>
        <v>0</v>
      </c>
      <c r="J31" s="19">
        <f>I31*2</f>
        <v>0</v>
      </c>
      <c r="K31" s="19">
        <f>L31*1000/20</f>
        <v>0</v>
      </c>
      <c r="L31" s="19">
        <f>CHOOSE((E31+1),0.000002,0.000017,0.000167,0.001667,0.016667,0.166667,0.2)*D31*2</f>
        <v>0</v>
      </c>
      <c r="M31" s="120">
        <f>CHOOSE((E31+1),0.000088,0.000269,0.000833,0.006852,0.034444,0.134444,0.15)*IF(D7&lt;6,3,IF(D7&lt;7,2,1))*D31*2</f>
        <v>0</v>
      </c>
      <c r="N31" s="83"/>
      <c r="O31" s="56"/>
      <c r="P31" s="56"/>
    </row>
    <row r="32" spans="1:16" ht="12.75">
      <c r="A32" s="56"/>
      <c r="B32" s="47"/>
      <c r="C32" s="262" t="s">
        <v>1179</v>
      </c>
      <c r="D32" s="65">
        <v>0</v>
      </c>
      <c r="E32" s="65">
        <v>0</v>
      </c>
      <c r="F32" s="65">
        <v>0</v>
      </c>
      <c r="G32" s="268"/>
      <c r="H32" s="274" t="str">
        <f>IF(D32=0," ",CHOOSE((E32+1),4,5,6,7,8,9,10,11,11.5,12,12.5,13,13.5,14,14.5))</f>
        <v> </v>
      </c>
      <c r="I32" s="19">
        <f>IF(D32=0,0,VLOOKUP(E32,Tables!$D$206:$Z$220,(D7+1+1))*5)*IF(F32&gt;0,2,1)</f>
        <v>0</v>
      </c>
      <c r="J32" s="19">
        <f>I32*2</f>
        <v>0</v>
      </c>
      <c r="K32" s="19">
        <f>IF(D32=0,0,IF(G32=1,0,VLOOKUP(E32,Tables!$D$206:$Z$220,(D7+1+1))))/20</f>
        <v>0</v>
      </c>
      <c r="L32" s="19">
        <f>IF(D32=0,0,IF(D7&lt;9,0.5,1)*VLOOKUP(E32,Tables!$D$206:$Z$220,(D7+1+1)))*2</f>
        <v>0</v>
      </c>
      <c r="M32" s="120">
        <f>IF(D32=0,0,2)*VLOOKUP(E32,Tables!$D$206:$Z$220,(D7+1+1))*2</f>
        <v>0</v>
      </c>
      <c r="N32" s="83"/>
      <c r="O32" s="56"/>
      <c r="P32" s="56"/>
    </row>
    <row r="33" spans="1:16" ht="12.75">
      <c r="A33" s="56"/>
      <c r="B33" s="47"/>
      <c r="C33" s="262" t="s">
        <v>1006</v>
      </c>
      <c r="D33" s="65">
        <v>0</v>
      </c>
      <c r="E33" s="65">
        <v>0</v>
      </c>
      <c r="F33" s="65">
        <v>0</v>
      </c>
      <c r="G33" s="268"/>
      <c r="H33" s="274" t="str">
        <f>IF(D33=0," ",CHOOSE((E33+1),12.5,13,13.5,14,14.5,15,15.5,16))</f>
        <v> </v>
      </c>
      <c r="I33" s="19">
        <f>IF(D33=0,0,CHOOSE((D7+1),0,0,0,0,0,0,0,0,4,4,2,2,1,1,1,1,1,1,1,1,1,1)*VLOOKUP(E33,Tables!$D$196:$Z$203,(D7+1+1)))*IF(F33&gt;0,2,1)</f>
        <v>0</v>
      </c>
      <c r="J33" s="19">
        <f>I33</f>
        <v>0</v>
      </c>
      <c r="K33" s="19">
        <f>IF(D33=0,0,IF(G33=1,0,VLOOKUP(E33,Tables!$D$196:$Z$203,(D7+1+1))))*0.5</f>
        <v>0</v>
      </c>
      <c r="L33" s="19">
        <f>IF(D33=0,0,2*VLOOKUP(E33,Tables!$D$196:$Z$203,(D7+1+1)))</f>
        <v>0</v>
      </c>
      <c r="M33" s="120">
        <f>IF(D33=0,0,IF(C33&lt;10,4,5)*VLOOKUP(E33,Tables!$D$196:$Z$203,(D7+1+1))*5)</f>
        <v>0</v>
      </c>
      <c r="N33" s="83"/>
      <c r="O33" s="56"/>
      <c r="P33" s="56"/>
    </row>
    <row r="34" spans="1:16" ht="12.75">
      <c r="A34" s="56"/>
      <c r="B34" s="47"/>
      <c r="C34" s="262" t="s">
        <v>1180</v>
      </c>
      <c r="D34" s="65">
        <v>0</v>
      </c>
      <c r="E34" s="268"/>
      <c r="F34" s="268"/>
      <c r="G34" s="268"/>
      <c r="H34" s="268"/>
      <c r="I34" s="19">
        <f>D34*0.001*E9</f>
        <v>0</v>
      </c>
      <c r="J34" s="19">
        <f>I34</f>
        <v>0</v>
      </c>
      <c r="K34" s="106"/>
      <c r="L34" s="106"/>
      <c r="M34" s="120">
        <f>I34*0.1</f>
        <v>0</v>
      </c>
      <c r="N34" s="83"/>
      <c r="O34" s="56"/>
      <c r="P34" s="56"/>
    </row>
    <row r="35" spans="1:16" ht="12.75">
      <c r="A35" s="56"/>
      <c r="B35" s="47"/>
      <c r="C35" s="262" t="s">
        <v>876</v>
      </c>
      <c r="D35" s="65">
        <v>0</v>
      </c>
      <c r="E35" s="268"/>
      <c r="F35" s="268"/>
      <c r="G35" s="268"/>
      <c r="H35" s="268"/>
      <c r="I35" s="19">
        <f>D35*0.01*E9</f>
        <v>0</v>
      </c>
      <c r="J35" s="19">
        <f>I35*2</f>
        <v>0</v>
      </c>
      <c r="K35" s="106"/>
      <c r="L35" s="106"/>
      <c r="M35" s="120">
        <f>I35*5</f>
        <v>0</v>
      </c>
      <c r="N35" s="83"/>
      <c r="O35" s="56"/>
      <c r="P35" s="56"/>
    </row>
    <row r="36" spans="1:16" ht="12.75">
      <c r="A36" s="56"/>
      <c r="B36" s="47"/>
      <c r="C36" s="175" t="s">
        <v>1181</v>
      </c>
      <c r="D36" s="178" t="s">
        <v>904</v>
      </c>
      <c r="E36" s="178" t="s">
        <v>1176</v>
      </c>
      <c r="F36" s="178" t="s">
        <v>906</v>
      </c>
      <c r="G36" s="178" t="s">
        <v>907</v>
      </c>
      <c r="H36" s="178" t="s">
        <v>909</v>
      </c>
      <c r="I36" s="17" t="s">
        <v>910</v>
      </c>
      <c r="J36" s="17" t="s">
        <v>911</v>
      </c>
      <c r="K36" s="17" t="s">
        <v>912</v>
      </c>
      <c r="L36" s="17" t="s">
        <v>913</v>
      </c>
      <c r="M36" s="114" t="s">
        <v>1142</v>
      </c>
      <c r="N36" s="83"/>
      <c r="O36" s="56"/>
      <c r="P36" s="56"/>
    </row>
    <row r="37" spans="1:16" ht="12.75">
      <c r="A37" s="56"/>
      <c r="B37" s="47"/>
      <c r="C37" s="262" t="s">
        <v>1182</v>
      </c>
      <c r="D37" s="271"/>
      <c r="E37" s="71">
        <v>0</v>
      </c>
      <c r="F37" s="271"/>
      <c r="G37" s="271"/>
      <c r="H37" s="272">
        <f>IF(E37=0,"",CHOOSE(Mis1TL+1,"","","","","","","","NTR","Adv NTR","GCNTR","AND","AND","AND","AND","AND","AND","AND","AND","AND","AND","AND","AND"))</f>
      </c>
      <c r="I37" s="99">
        <f>IF(E37=0,0,IF(Mis1TL&lt;7,#VALUE!,Tables!E342/CHOOSE(Mis1TL+1,#VALUE!,#VALUE!,#VALUE!,#VALUE!,#VALUE!,#VALUE!,#VALUE!,80,120,50,1100,1100,1100,1100,1100,1100,1100,1100,1100,1100,1100,1100)))</f>
        <v>0</v>
      </c>
      <c r="J37" s="99">
        <f>I37</f>
        <v>0</v>
      </c>
      <c r="K37" s="99">
        <f>0.0005*Tables!E342</f>
        <v>0</v>
      </c>
      <c r="L37" s="109"/>
      <c r="M37" s="121">
        <f>CHOOSE(Mis1TL+1,#VALUE!,#VALUE!,#VALUE!,#VALUE!,#VALUE!,#VALUE!,#VALUE!,8,12,16.67,0.1,0.1,0.1,0.1,0.1,0.1,0.1,0.1,0.1,0.1,0.1,0.1)*I37</f>
        <v>0</v>
      </c>
      <c r="N37" s="83"/>
      <c r="O37" s="56"/>
      <c r="P37" s="56"/>
    </row>
    <row r="38" spans="1:16" ht="12.75">
      <c r="A38" s="56"/>
      <c r="B38" s="47"/>
      <c r="C38" s="262" t="s">
        <v>1183</v>
      </c>
      <c r="D38" s="268"/>
      <c r="E38" s="65">
        <v>6</v>
      </c>
      <c r="F38" s="268"/>
      <c r="G38" s="268"/>
      <c r="H38" s="272" t="str">
        <f>IF(E38=0,"",CHOOSE(Mis1TL+1,"","","","","","","","","Exp. Fusion","Fusion","HEPlaR","HEPlaR","HEPlaR","HEPlaR","HEPlaR","HEPlaR","HEPlaR","HEPlaR","HEPlaR","HEPlaR","HEPlaR","HEPlaR"))</f>
        <v>HEPlaR</v>
      </c>
      <c r="I38" s="99">
        <f>IF(E38=0,0,IF(Mis1TL&lt;8,#VALUE!,(Tables!E343/CHOOSE(Mis1TL+1,#VALUE!,#VALUE!,#VALUE!,#VALUE!,#VALUE!,#VALUE!,#VALUE!,#VALUE!,30,90,2000,2000,2000,2000,2000,2000,2000,2000,2000,2000,2000,2000,2000))))</f>
        <v>0.21</v>
      </c>
      <c r="J38" s="99">
        <f>I38</f>
        <v>0.21</v>
      </c>
      <c r="K38" s="99">
        <f>E38*0.0005*Tables!E343</f>
        <v>1.26</v>
      </c>
      <c r="L38" s="99">
        <f>Tables!E343*CHOOSE(Mis1TL+1,0,0,0,0,0,0,0,0,0,0,0.005,0.005,0.005,0.005,0.005,0.005,0.005,0.005,0.005,0.005,0.005,0.005)</f>
        <v>2.1</v>
      </c>
      <c r="M38" s="121">
        <f>I38*CHOOSE(Mis1TL+1,0,0,0,0,0,0,0,0,3.5,0.35,0.01,0.01,0.01,0.01,0.01,0.01,0.01,0.01,0.01,0.01,0.01,0.01)</f>
        <v>0.0021</v>
      </c>
      <c r="N38" s="83"/>
      <c r="O38" s="56"/>
      <c r="P38" s="56"/>
    </row>
    <row r="39" spans="1:16" ht="12.75">
      <c r="A39" s="56"/>
      <c r="B39" s="47"/>
      <c r="C39" s="262" t="s">
        <v>725</v>
      </c>
      <c r="D39" s="268"/>
      <c r="E39" s="268"/>
      <c r="F39" s="268"/>
      <c r="G39" s="268"/>
      <c r="H39" s="272" t="str">
        <f>IF(E38+E37=0,"",CONCATENATE(Tables!E359," G-turns"))</f>
        <v>12 G-turns</v>
      </c>
      <c r="I39" s="99">
        <f>IF(E37+E38=0,0,E9-(SUM(I16:I38)+SUM(I40:I54)))</f>
        <v>6.5443999999999996</v>
      </c>
      <c r="J39" s="99">
        <f>IF(E37&gt;0,IF(Mis1TL&lt;10,0.07,1.167)*I39,I39*0.07)</f>
        <v>0.458108</v>
      </c>
      <c r="K39" s="106"/>
      <c r="L39" s="106"/>
      <c r="M39" s="122"/>
      <c r="N39" s="83"/>
      <c r="O39" s="56"/>
      <c r="P39" s="56"/>
    </row>
    <row r="40" spans="1:16" ht="12.75">
      <c r="A40" s="56"/>
      <c r="B40" s="47"/>
      <c r="C40" s="262" t="s">
        <v>1184</v>
      </c>
      <c r="D40" s="268"/>
      <c r="E40" s="65">
        <v>0</v>
      </c>
      <c r="F40" s="268"/>
      <c r="G40" s="268"/>
      <c r="H40" s="268"/>
      <c r="I40" s="99">
        <f>IF(E40=0,0,IF(Mis1TL&lt;11,#VALUE!,Tables!E344/400))</f>
        <v>0</v>
      </c>
      <c r="J40" s="99">
        <f>I40*2</f>
        <v>0</v>
      </c>
      <c r="K40" s="99">
        <f>IF(E40=0,0,IF(D7&lt;11,#VALUE!,0.0001*Tables!E344))</f>
        <v>0</v>
      </c>
      <c r="L40" s="99">
        <f>IF(E40=0,0,IF(D7&lt;11,#VALUE!,0.0025*Tables!E344))</f>
        <v>0</v>
      </c>
      <c r="M40" s="121">
        <f>I40*0.25</f>
        <v>0</v>
      </c>
      <c r="N40" s="83"/>
      <c r="O40" s="56"/>
      <c r="P40" s="56"/>
    </row>
    <row r="41" spans="1:16" ht="12.75">
      <c r="A41" s="56"/>
      <c r="B41" s="47"/>
      <c r="C41" s="262" t="s">
        <v>1185</v>
      </c>
      <c r="D41" s="268"/>
      <c r="E41" s="71">
        <v>0</v>
      </c>
      <c r="F41" s="271"/>
      <c r="G41" s="271"/>
      <c r="H41" s="272" t="str">
        <f>IF(E41=0," ",IF(D7&lt;9,"TL Violation",CONCATENATE(ROUND(Tables!E345/J55/10,1),"G")))</f>
        <v> </v>
      </c>
      <c r="I41" s="68">
        <f>IF(E41=0,0,IF(D7&lt;9,#VALUE!,CHOOSE((D7+1),0,0,0,0,0,0,0,0,0,0.003,0.002,0.002,0.002,0.002,0.002,0.002,0.002,0.002,0.002,0.002,0.002,0.002)*Tables!E345))</f>
        <v>0</v>
      </c>
      <c r="J41" s="68">
        <f>IF(E41=0,0,IF(D7&lt;9,#VALUE!,Tables!E345*CHOOSE((D7+1),0,0,0,0,0,0,0,0,0,0.0038,0.002,0.002,0.0013,0.0013,0.0013,0.0013,0.0013,0.0013,0.0013,0.0013,0.0013,0.0013,0.0013)))</f>
        <v>0</v>
      </c>
      <c r="K41" s="68">
        <f>IF(E41=0,0,IF(D7&lt;9,#VALUE!,Tables!E345*CHOOSE((D7+1),0,0,0,0,0,0,0,0,0,0.0018,0.002,0.002,0.002,0.002,0.002,0.002,0.002,0.002,0.002,0.002,0.002,0.002,0.002)))</f>
        <v>0</v>
      </c>
      <c r="L41" s="68">
        <f>IF(E41=0,0,IF(D7&lt;9,#VALUE!,Tables!E345*CHOOSE((D7+1),0,0,0,0,0,0,0,0,0,0.0018,0.0014,0.0014,0.0017,0.0017,0.0017,0.0017,0.0017,0.0017,0.0017,0.0017,0.0017,0.0017)))</f>
        <v>0</v>
      </c>
      <c r="M41" s="121">
        <f>IF(E41=0,0,IF(D7&lt;9,#VALUE!,Tables!E345*CHOOSE((D7+1),0,0,0,0,0,0,0,0,0,0.000012,0.000016,0.000016,0.00002,0.00002,0.00002,0.00002,0.00002,0.00002,0.00002,0.00002,0.00002,0.00002)))</f>
        <v>0</v>
      </c>
      <c r="N41" s="83"/>
      <c r="O41" s="56"/>
      <c r="P41" s="56"/>
    </row>
    <row r="42" spans="1:16" ht="12.75">
      <c r="A42" s="56"/>
      <c r="B42" s="47"/>
      <c r="C42" s="175" t="s">
        <v>913</v>
      </c>
      <c r="D42" s="178" t="s">
        <v>904</v>
      </c>
      <c r="E42" s="178" t="s">
        <v>1176</v>
      </c>
      <c r="F42" s="178" t="s">
        <v>906</v>
      </c>
      <c r="G42" s="178" t="s">
        <v>907</v>
      </c>
      <c r="H42" s="178" t="s">
        <v>909</v>
      </c>
      <c r="I42" s="17" t="s">
        <v>910</v>
      </c>
      <c r="J42" s="17" t="s">
        <v>911</v>
      </c>
      <c r="K42" s="17" t="s">
        <v>912</v>
      </c>
      <c r="L42" s="17" t="s">
        <v>913</v>
      </c>
      <c r="M42" s="114" t="s">
        <v>1142</v>
      </c>
      <c r="N42" s="83"/>
      <c r="O42" s="56"/>
      <c r="P42" s="56"/>
    </row>
    <row r="43" spans="1:16" ht="12.75">
      <c r="A43" s="56"/>
      <c r="B43" s="47"/>
      <c r="C43" s="262" t="s">
        <v>1012</v>
      </c>
      <c r="D43" s="268"/>
      <c r="E43" s="65">
        <v>0</v>
      </c>
      <c r="F43" s="65">
        <v>0</v>
      </c>
      <c r="G43" s="268"/>
      <c r="H43" s="274" t="str">
        <f>IF(E43=0," ",IF(D7&lt;6,"TL Violation",IF(F43&gt;CHOOSE((D7+1),2,2,2,2,2,2,2,2,2,2,2,2,2,3,3,3,3,3,3,3,3,3),"TL Violation",CONCATENATE(ROUND(Tables!L364,1),"MW"))))</f>
        <v> </v>
      </c>
      <c r="I43" s="19">
        <f>IF(E43=0,0,IF(D7&lt;6,#VALUE!,IF(Tables!K364&gt;Tables!E364*100000,Tables!K364,IF(Tables!J364&gt;Tables!E364*10000,Tables!J364,IF(Tables!I364&gt;Tables!E364*1000,Tables!I364,IF(Tables!H364&gt;Tables!E364*100,Tables!H364,IF(Tables!G364&gt;Tables!E364*10,Tables!G364,IF(Tables!F364&gt;Tables!E364,Tables!F364,Tables!E364))))))))</f>
        <v>0</v>
      </c>
      <c r="J43" s="19">
        <f>I43*CHOOSE((D7+1),0,0,0,0,0,0,10,8,6,6,6,6,6,6,6,6,6,6,6,6,6,6)</f>
        <v>0</v>
      </c>
      <c r="K43" s="19">
        <f>L43*10*CHOOSE((F43+1),1,2,10,20)*IF(F43&gt;CHOOSE((D7+1),2,2,2,2,2,2,2,2,2,2,2,2,2,3,3,3,3,3,3,3,3,3),#VALUE!,1)</f>
        <v>0</v>
      </c>
      <c r="L43" s="19">
        <f>Tables!L364</f>
        <v>0</v>
      </c>
      <c r="M43" s="120">
        <f>0.1*I43+CHOOSE((F43+1),0,0.1,1,10)*K43</f>
        <v>0</v>
      </c>
      <c r="N43" s="83"/>
      <c r="O43" s="56"/>
      <c r="P43" s="56"/>
    </row>
    <row r="44" spans="1:16" ht="12.75">
      <c r="A44" s="56"/>
      <c r="B44" s="47"/>
      <c r="C44" s="262" t="s">
        <v>1013</v>
      </c>
      <c r="D44" s="268"/>
      <c r="E44" s="65">
        <v>0</v>
      </c>
      <c r="F44" s="268"/>
      <c r="G44" s="268"/>
      <c r="H44" s="274" t="str">
        <f>IF(E44=0," ",CONCATENATE(ROUND(E44,1),"hr"))</f>
        <v> </v>
      </c>
      <c r="I44" s="19">
        <f>E44/8760*L43*CHOOSE((D7+1),0,0,0,0,0,0,0.75,0.25,0.1,0.1,0.1,0.1,0.1,0.1,0.1,0.1,0.1,0.1,0.1,0.1,0.1,0.1)</f>
        <v>0</v>
      </c>
      <c r="J44" s="19">
        <f>I44*19</f>
        <v>0</v>
      </c>
      <c r="K44" s="106"/>
      <c r="L44" s="106"/>
      <c r="M44" s="122"/>
      <c r="N44" s="83"/>
      <c r="O44" s="56"/>
      <c r="P44" s="56"/>
    </row>
    <row r="45" spans="1:16" ht="12.75">
      <c r="A45" s="56"/>
      <c r="B45" s="47"/>
      <c r="C45" s="262" t="s">
        <v>1015</v>
      </c>
      <c r="D45" s="268"/>
      <c r="E45" s="65">
        <v>0</v>
      </c>
      <c r="F45" s="65">
        <v>0</v>
      </c>
      <c r="G45" s="268"/>
      <c r="H45" s="274" t="str">
        <f>IF(E45=0," ",IF(D7&lt;9,"TL Violation",IF(F45&gt;CHOOSE((D7+1),2,2,2,2,2,2,2,2,2,2,2,2,2,3,3,3,3,3,3,3,3,3),"TL Violation",CONCATENATE(ROUND(Tables!L365,1),"MW"))))</f>
        <v> </v>
      </c>
      <c r="I45" s="19">
        <f>IF(E45=0,0,IF(D7&lt;6,#VALUE!,IF(Tables!K365&gt;Tables!E365*100000,Tables!K365,IF(Tables!J365&gt;Tables!E365*10000,Tables!J365,IF(Tables!I365&gt;Tables!E365*1000,Tables!I365,IF(Tables!H365&gt;Tables!E365*100,Tables!H365,IF(Tables!G365&gt;Tables!E365*10,Tables!G365,IF(Tables!F365&gt;Tables!E365,Tables!F365,Tables!E365))))))))</f>
        <v>0</v>
      </c>
      <c r="J45" s="19">
        <f>I45*CHOOSE((D7+1),0,0,0,0,0,0,0,0,0,4,4,4,4,3,3,2,1,1,1,1,1,1)</f>
        <v>0</v>
      </c>
      <c r="K45" s="19">
        <f>Tables!L365*CHOOSE((D7+1),0,0,0,0,0,0,0,0,0,1,0.1,0.1,0.01,0.01,0.001,0.001,0.001,0.001,0.001,0.001,0.001,0.001)*CHOOSE((F45+1),1,2,10,20)*IF(F45&gt;CHOOSE((D7+1),2,2,2,2,2,2,2,2,2,2,2,2,2,3,3,3,3,3,3,3,3,3),#VALUE!,1)</f>
        <v>0</v>
      </c>
      <c r="L45" s="19">
        <f>Tables!L365</f>
        <v>0</v>
      </c>
      <c r="M45" s="120">
        <f>0.2*I45+CHOOSE((F45+1),0,0.1,1,10)*K45</f>
        <v>0</v>
      </c>
      <c r="N45" s="83"/>
      <c r="O45" s="56"/>
      <c r="P45" s="56"/>
    </row>
    <row r="46" spans="1:16" ht="12.75">
      <c r="A46" s="56"/>
      <c r="B46" s="47"/>
      <c r="C46" s="262" t="s">
        <v>1016</v>
      </c>
      <c r="D46" s="268"/>
      <c r="E46" s="65">
        <v>0</v>
      </c>
      <c r="F46" s="268"/>
      <c r="G46" s="268"/>
      <c r="H46" s="274" t="str">
        <f>IF(E46=0," ",CONCATENATE(ROUND(E46,1),"hr"))</f>
        <v> </v>
      </c>
      <c r="I46" s="19">
        <f>IF(E46=0,0,CHOOSE((D7+1),0,0,0,0,0,0,0,0,0,0.15,0.15,0.15,0.15,0.1,0.1,0.1,0.1,0.1,0.1,0.1,0.1,0.1,0.1)*E46/8760*L45)</f>
        <v>0</v>
      </c>
      <c r="J46" s="19">
        <f>I46*1.07</f>
        <v>0</v>
      </c>
      <c r="K46" s="106"/>
      <c r="L46" s="106"/>
      <c r="M46" s="122"/>
      <c r="N46" s="83"/>
      <c r="O46" s="56"/>
      <c r="P46" s="56"/>
    </row>
    <row r="47" spans="1:16" ht="12.75">
      <c r="A47" s="56"/>
      <c r="B47" s="47"/>
      <c r="C47" s="262" t="s">
        <v>1018</v>
      </c>
      <c r="D47" s="268"/>
      <c r="E47" s="65">
        <v>0</v>
      </c>
      <c r="F47" s="65">
        <v>0</v>
      </c>
      <c r="G47" s="268"/>
      <c r="H47" s="274" t="str">
        <f>IF(E47=0," ",IF(D7&lt;10,"TL Violation",IF(F47&gt;CHOOSE((D7+1),2,2,2,2,2,2,2,2,2,2,2,2,2,3,3,3,3,3,3,3,3,3),"TL Violation",CONCATENATE(ROUND(Tables!L366,1),"MW"))))</f>
        <v> </v>
      </c>
      <c r="I47" s="19">
        <f>IF(E47=0,0,IF(D7&lt;10,#VALUE!,MAX(E47/CHOOSE((D7+1),0,0,0,0,0,0,0,0,0,0,3,3.8,4.8,6,7.7,9.8,9.8,9.8,9.8,9.8,9.8,9.8),CHOOSE((D7+1),0,0,0,0,0,0,0,0,0,0,0.02,0.015,0.01,0.007,0.006,0.004,0.004,0.004,0.004,0.004,0.004,0.004))))</f>
        <v>0</v>
      </c>
      <c r="J47" s="19">
        <f>I47*CHOOSE((D7+1),0,0,0,0,0,0,0,0,0,0,2,2,2,1.5,1.5,1,1,1,1,1,1,1)</f>
        <v>0</v>
      </c>
      <c r="K47" s="19">
        <f>Tables!L366*CHOOSE((D7+1),0,0,0,0,0,0,0,0,0,0,10,10,1,1,0.1,0.1,0.1,0.1,0.1,0.1,0.1,0.1)*IF(F47&gt;CHOOSE((D7+1),2,2,2,2,2,2,2,2,2,2,2,2,2,3,3,3,3,3,3,3,3,3),#VALUE!,1)</f>
        <v>0</v>
      </c>
      <c r="L47" s="19">
        <f>Tables!L366</f>
        <v>0</v>
      </c>
      <c r="M47" s="120">
        <f>0.01*I47+CHOOSE((F47+1),0,0.1,1,10)*K47</f>
        <v>0</v>
      </c>
      <c r="N47" s="83"/>
      <c r="O47" s="56"/>
      <c r="P47" s="56"/>
    </row>
    <row r="48" spans="1:16" ht="12.75">
      <c r="A48" s="56"/>
      <c r="B48" s="47"/>
      <c r="C48" s="262" t="s">
        <v>1019</v>
      </c>
      <c r="D48" s="268"/>
      <c r="E48" s="65">
        <v>0</v>
      </c>
      <c r="F48" s="268"/>
      <c r="G48" s="268"/>
      <c r="H48" s="274" t="str">
        <f>IF(E48=0," ",CONCATENATE(ROUND(E48,1),"hr"))</f>
        <v> </v>
      </c>
      <c r="I48" s="19">
        <f>E48*0.0015*I47</f>
        <v>0</v>
      </c>
      <c r="J48" s="19">
        <f>I48*1.07</f>
        <v>0</v>
      </c>
      <c r="K48" s="106"/>
      <c r="L48" s="106"/>
      <c r="M48" s="122"/>
      <c r="N48" s="83"/>
      <c r="O48" s="56"/>
      <c r="P48" s="56"/>
    </row>
    <row r="49" spans="1:16" ht="12.75">
      <c r="A49" s="56"/>
      <c r="B49" s="47"/>
      <c r="C49" s="262" t="s">
        <v>1021</v>
      </c>
      <c r="D49" s="268"/>
      <c r="E49" s="65">
        <v>0</v>
      </c>
      <c r="F49" s="65">
        <v>0</v>
      </c>
      <c r="G49" s="268"/>
      <c r="H49" s="274" t="str">
        <f>IF(E49=0," ",IF(D7&lt;7,"TL Violation",IF(F49&gt;CHOOSE((D7+1),2,2,2,2,2,2,2,2,2,2,2,2,2,3,3,3,3,3,3,3,3,3),"TL Violation",CONCATENATE(ROUND(Tables!L367,1),"MW"))))</f>
        <v> </v>
      </c>
      <c r="I49" s="19">
        <f>IF(E49=0,0,IF(D7&lt;6,#VALUE!,IF(Tables!K367&gt;Tables!E367*100000,Tables!K367,IF(Tables!J367&gt;Tables!E367*10000,Tables!J367,IF(Tables!I367&gt;Tables!E367*1000,Tables!I367,IF(Tables!H367&gt;Tables!E367*100,Tables!H367,IF(Tables!G367&gt;Tables!E367*10,Tables!G367,IF(Tables!F367&gt;Tables!E367,Tables!F367,Tables!E367))))))))</f>
        <v>0</v>
      </c>
      <c r="J49" s="19">
        <f>I49</f>
        <v>0</v>
      </c>
      <c r="K49" s="19">
        <f>Tables!L367*CHOOSE((D7+1),0,0,0,0,0,0,0,10,10,10,10,10,1,1,0.1,0.1,0.01,0.01,0.01,0.01,0.01,0.01)*CHOOSE((F49+1),1,2,10,20)*IF(F49&gt;CHOOSE((D7+1),2,2,2,2,2,2,2,2,2,2,2,2,2,3,3,3,3,3,3,3,3,3),#VALUE!,1)</f>
        <v>0</v>
      </c>
      <c r="L49" s="19">
        <f>Tables!L367</f>
        <v>0</v>
      </c>
      <c r="M49" s="120">
        <f>0.02*I49+CHOOSE((F49+1),0,0.1,1,10)*K49</f>
        <v>0</v>
      </c>
      <c r="N49" s="83"/>
      <c r="O49" s="56"/>
      <c r="P49" s="56"/>
    </row>
    <row r="50" spans="1:16" ht="12.75">
      <c r="A50" s="56"/>
      <c r="B50" s="47"/>
      <c r="C50" s="262" t="s">
        <v>1022</v>
      </c>
      <c r="D50" s="268"/>
      <c r="E50" s="65">
        <v>0</v>
      </c>
      <c r="F50" s="268"/>
      <c r="G50" s="268"/>
      <c r="H50" s="274" t="str">
        <f>IF(E50=0," ",CONCATENATE(ROUND(E50,1),"hr"))</f>
        <v> </v>
      </c>
      <c r="I50" s="19">
        <f>E50*L49*CHOOSE((D7+1),0,0,0,0,0,0,0,0.3,0.3,0.3,0.3,0.3,0.25,0.25,0.2,0.2,0.2,0.2,0.2,0.2,0.2,0.2)</f>
        <v>0</v>
      </c>
      <c r="J50" s="19">
        <f>I50*0.9</f>
        <v>0</v>
      </c>
      <c r="K50" s="106"/>
      <c r="L50" s="106"/>
      <c r="M50" s="122"/>
      <c r="N50" s="83"/>
      <c r="O50" s="56"/>
      <c r="P50" s="56"/>
    </row>
    <row r="51" spans="1:16" ht="12.75">
      <c r="A51" s="56"/>
      <c r="B51" s="47"/>
      <c r="C51" s="262" t="s">
        <v>1186</v>
      </c>
      <c r="D51" s="268"/>
      <c r="E51" s="65">
        <v>0</v>
      </c>
      <c r="F51" s="65">
        <v>0</v>
      </c>
      <c r="G51" s="268"/>
      <c r="H51" s="274" t="str">
        <f>IF(E51=0," ",IF(D7&lt;17,"TL Violation",IF(F51&gt;CHOOSE((C51+1),2,2,2,2,2,2,2,2,2,2,2,2,2,3,3,3,3,3,3,3,3,3),"TL Violation",CONCATENATE(ROUND(Tables!L368,1),"MW"))))</f>
        <v> </v>
      </c>
      <c r="I51" s="19">
        <f>IF(E51=0,0,IF(D7&lt;6,#VALUE!,IF(Tables!K368&gt;Tables!E368*100000,Tables!K368,IF(Tables!J368&gt;Tables!E368*10000,Tables!J368,IF(Tables!I368&gt;Tables!E368*1000,Tables!I368,IF(Tables!H368&gt;Tables!E368*100,Tables!H368,IF(Tables!G368&gt;Tables!E368*10,Tables!G368,IF(Tables!F368&gt;Tables!E368,Tables!F368,Tables!E368))))))))</f>
        <v>0</v>
      </c>
      <c r="J51" s="19">
        <f>CHOOSE((D7+1),0,0,0,0,0,0,0,0,0,0,0,0,0,0,0,0,0,6,5,4,3,2)*I51</f>
        <v>0</v>
      </c>
      <c r="K51" s="19">
        <f>CHOOSE((D7+1),0,0,0,0,0,0,0,0,0,0,0,0,0,0,0,0,0,0.01,0.01,0.001,0.001,0.001)*Tables!L368*CHOOSE((F51+1),1,2,10,20)*IF(F51&gt;CHOOSE((D7+1),2,2,2,2,2,2,2,2,2,2,2,2,2,3,3,3,3,3,3,3,3,3),#VALUE!,1)</f>
        <v>0</v>
      </c>
      <c r="L51" s="19">
        <f>Tables!L368</f>
        <v>0</v>
      </c>
      <c r="M51" s="120">
        <f>0.5*I51+CHOOSE((F51+1),0,0.1,1,10)*K51</f>
        <v>0</v>
      </c>
      <c r="N51" s="83"/>
      <c r="O51" s="56"/>
      <c r="P51" s="56"/>
    </row>
    <row r="52" spans="1:16" ht="12.75">
      <c r="A52" s="56"/>
      <c r="B52" s="47"/>
      <c r="C52" s="262" t="s">
        <v>1025</v>
      </c>
      <c r="D52" s="268"/>
      <c r="E52" s="65">
        <v>0</v>
      </c>
      <c r="F52" s="268"/>
      <c r="G52" s="268"/>
      <c r="H52" s="274" t="str">
        <f>IF(E52=0," ",CONCATENATE(ROUND(E52,1),"hr"))</f>
        <v> </v>
      </c>
      <c r="I52" s="19">
        <f>E52/8760*L51*CHOOSE((D7+1),0,0,0,0,0,0,0,0,0,0,0,0,0,0,0,0,0,0.005,0.002,0.001,0.0005,0.0002)</f>
        <v>0</v>
      </c>
      <c r="J52" s="19">
        <f>I52*0.07</f>
        <v>0</v>
      </c>
      <c r="K52" s="106"/>
      <c r="L52" s="106"/>
      <c r="M52" s="122"/>
      <c r="N52" s="83"/>
      <c r="O52" s="56"/>
      <c r="P52" s="56"/>
    </row>
    <row r="53" spans="1:16" ht="12.75">
      <c r="A53" s="56"/>
      <c r="B53" s="47"/>
      <c r="C53" s="262" t="s">
        <v>1027</v>
      </c>
      <c r="D53" s="268"/>
      <c r="E53" s="65">
        <v>0</v>
      </c>
      <c r="F53" s="65">
        <v>0</v>
      </c>
      <c r="G53" s="268"/>
      <c r="H53" s="274" t="str">
        <f>IF(E53=0," ",IF(D7&lt;6,"TL Violation",CONCATENATE(ROUND(E53,0),"MW")))</f>
        <v> </v>
      </c>
      <c r="I53" s="19">
        <f>IF(E53=0,0,IF(D7&lt;6,#VALUE!,E53/CHOOSE((D7+1),0,0,0,0,0,0,0.001,0.0015,0.002,0.0025,0.003,0.004,0.004,0.004,0.004,0.004,0.004,0.004,0.004,0.004,0.004,0.004)))*IF(F53=2,1.1,1)</f>
        <v>0</v>
      </c>
      <c r="J53" s="19">
        <f>I53*2*IF(F53&gt;0,10*MAX(E8163,E8166,E8165,E8167,E8168,E8169),1)*IF(F53=2,2,1)</f>
        <v>0</v>
      </c>
      <c r="K53" s="19">
        <f>IF(F53&gt;0,0,L53*12)</f>
        <v>0</v>
      </c>
      <c r="L53" s="19">
        <f>E53</f>
        <v>0</v>
      </c>
      <c r="M53" s="120">
        <f>CHOOSE((D7+1),0,0,0,0,0,0,0.005,0.006,0.006,0.006,0.006,0.006,0.006,0.006,0.006,0.006,0.006,0.006,0.006,0.006,0.006,0.006,0.006)*I53</f>
        <v>0</v>
      </c>
      <c r="N53" s="83"/>
      <c r="O53" s="56"/>
      <c r="P53" s="56"/>
    </row>
    <row r="54" spans="1:16" ht="12.75">
      <c r="A54" s="56"/>
      <c r="B54" s="47"/>
      <c r="C54" s="262" t="s">
        <v>858</v>
      </c>
      <c r="D54" s="268"/>
      <c r="E54" s="65">
        <v>0.0031</v>
      </c>
      <c r="F54" s="65">
        <v>24</v>
      </c>
      <c r="G54" s="268"/>
      <c r="H54" s="274" t="str">
        <f>IF(E54=0," ",IF(D7&lt;6,"TL Violation",CONCATENATE(ROUND(E54*F54,3)," MW/hr")))</f>
        <v>0.074 MW/hr</v>
      </c>
      <c r="I54" s="19">
        <f>(E54*F54)/CHOOSE((D7+1),0,0,0,0,0.04,0.06,0.08,0.1,0.2,0.4,0.8,1,1.5,2,2.5,3,3.5,4,6,8,10,12)</f>
        <v>0.0496</v>
      </c>
      <c r="J54" s="19">
        <f>CHOOSE((D7+1),0,0,0,0,2,2,2,2,2,2,2,2,2,2.5,2.5,2.5,2.5,2.5,3,4,5,6)*I54</f>
        <v>0.0992</v>
      </c>
      <c r="K54" s="106"/>
      <c r="L54" s="19">
        <f>E54</f>
        <v>0.0031</v>
      </c>
      <c r="M54" s="120">
        <f>CHOOSE((D7+1),0,0,0,0,0.0001,0.0001,0.0008,0.0008,0.001,0.002,0.003,0.004,0.005,0.008,0.01,0.015,0.02,0.025,0.03,0.04,0.05,0.1)*I54</f>
        <v>0.000248</v>
      </c>
      <c r="N54" s="83"/>
      <c r="O54" s="56"/>
      <c r="P54" s="56"/>
    </row>
    <row r="55" spans="1:16" ht="12.75">
      <c r="A55" s="56"/>
      <c r="B55" s="47"/>
      <c r="C55" s="12" t="s">
        <v>341</v>
      </c>
      <c r="D55" s="167"/>
      <c r="E55" s="167"/>
      <c r="F55" s="167"/>
      <c r="G55" s="167"/>
      <c r="H55" s="167"/>
      <c r="I55" s="104">
        <f>SUM(I16:I54)</f>
        <v>6.999999999999999</v>
      </c>
      <c r="J55" s="104">
        <f>IF(D8=1,7,SUM(J16:J54))</f>
        <v>7</v>
      </c>
      <c r="K55" s="104">
        <f>SUM(K16:K54)</f>
        <v>2.26</v>
      </c>
      <c r="L55" s="104">
        <f>SUM(L16:L42)</f>
        <v>2.1020190000000003</v>
      </c>
      <c r="M55" s="138">
        <f>SUM(M16:M54)</f>
        <v>0.674348</v>
      </c>
      <c r="N55" s="83"/>
      <c r="O55" s="56"/>
      <c r="P55" s="56"/>
    </row>
    <row r="56" spans="1:16" ht="12.75">
      <c r="A56" s="56"/>
      <c r="B56" s="47"/>
      <c r="C56" s="13" t="s">
        <v>1113</v>
      </c>
      <c r="D56" s="166"/>
      <c r="E56" s="166"/>
      <c r="F56" s="166"/>
      <c r="G56" s="166"/>
      <c r="H56" s="166"/>
      <c r="I56" s="105">
        <f>E9-I55</f>
        <v>0</v>
      </c>
      <c r="J56" s="166"/>
      <c r="K56" s="105">
        <f>D11-K55</f>
        <v>22.509999999999998</v>
      </c>
      <c r="L56" s="105">
        <f>SUM(L43:L54)-L55</f>
        <v>-2.0989190000000004</v>
      </c>
      <c r="M56" s="139">
        <f>IF(D12=0,0,D12-M55)</f>
        <v>0</v>
      </c>
      <c r="N56" s="83"/>
      <c r="O56" s="56"/>
      <c r="P56" s="56"/>
    </row>
    <row r="57" spans="1:16" ht="12.75">
      <c r="A57" s="56"/>
      <c r="B57" s="47"/>
      <c r="C57" s="52"/>
      <c r="D57" s="52"/>
      <c r="E57" s="52"/>
      <c r="F57" s="52"/>
      <c r="G57" s="52"/>
      <c r="H57" s="52"/>
      <c r="I57" s="194"/>
      <c r="J57" s="194"/>
      <c r="K57" s="194"/>
      <c r="L57" s="194"/>
      <c r="M57" s="98"/>
      <c r="N57" s="83"/>
      <c r="O57" s="56"/>
      <c r="P57" s="56"/>
    </row>
    <row r="58" spans="1:16" ht="12.75">
      <c r="A58" s="56"/>
      <c r="B58" s="47"/>
      <c r="C58" s="205" t="s">
        <v>1187</v>
      </c>
      <c r="D58" s="210"/>
      <c r="E58" s="210"/>
      <c r="F58" s="210"/>
      <c r="G58" s="210"/>
      <c r="H58" s="212"/>
      <c r="I58" s="194"/>
      <c r="J58" s="194"/>
      <c r="K58" s="194"/>
      <c r="L58" s="194"/>
      <c r="M58" s="98"/>
      <c r="N58" s="83"/>
      <c r="O58" s="56"/>
      <c r="P58" s="56"/>
    </row>
    <row r="59" spans="1:16" ht="12.75">
      <c r="A59" s="465"/>
      <c r="B59" s="476"/>
      <c r="C59" s="484" t="s">
        <v>553</v>
      </c>
      <c r="D59" s="485" t="str">
        <f>IF($D$8=1,"Cmd DL 1d6/2 6.0G12 1000AU",CONCATENATE($H$17," DL ",ROUND($D$16,0),"d6/",ROUND(VLOOKUP(CHOOSE(($F$16+1),36,50,61,80,94,113),Tables!$A$2:$B$61,2),0)," [",ROUND(CHOOSE((((F16+1)-1)+1),36,50,61,80,94,113),0),"] ",CONCATENATE(ROUND(Tables!E346/J55/10,1),"G"),"/",Tables!E359," ",IF(E17=2," ",H21)))</f>
        <v>Cmd DL 1d6/2 6.0G12 1000AU</v>
      </c>
      <c r="E59" s="485"/>
      <c r="F59" s="485"/>
      <c r="G59" s="485"/>
      <c r="H59" s="492"/>
      <c r="I59" s="483"/>
      <c r="J59" s="483"/>
      <c r="K59" s="483"/>
      <c r="L59" s="483"/>
      <c r="M59" s="463"/>
      <c r="N59" s="464"/>
      <c r="O59" s="465"/>
      <c r="P59" s="465"/>
    </row>
    <row r="60" spans="1:16" ht="12.75">
      <c r="A60" s="56"/>
      <c r="B60" s="47"/>
      <c r="C60" s="264" t="s">
        <v>1135</v>
      </c>
      <c r="D60" s="468" t="str">
        <f>IF($D$8=1,IF(Mis1TL&lt;13,"Cmd DL 17:11 -6 def. 6G, Long","Cmd DL 18:12 -6 def. 6G, Long"),CONCATENATE($H$17," DL ",VLOOKUP(CHOOSE($F$16+1,36,50,61,80,94,113)*20,CombatUSDTable,2),":",VLOOKUP(CHOOSE($F$16+1,36,50,61,80,94,113)*($D$16*3),CombatUSDTable,2)," ",Tables!E355," def. ",Tables!E356,"G, ",Tables!E360,Tables!E361))</f>
        <v>Cmd DL 17:11 -6 def. 6G, Long</v>
      </c>
      <c r="E60" s="211"/>
      <c r="F60" s="211"/>
      <c r="G60" s="211"/>
      <c r="H60" s="214"/>
      <c r="I60" s="194"/>
      <c r="J60" s="194"/>
      <c r="K60" s="194"/>
      <c r="L60" s="194"/>
      <c r="M60" s="98"/>
      <c r="N60" s="83"/>
      <c r="O60" s="56"/>
      <c r="P60" s="56"/>
    </row>
    <row r="61" spans="1:16" ht="12.75">
      <c r="A61" s="56"/>
      <c r="B61" s="47"/>
      <c r="C61" s="52"/>
      <c r="D61" s="52"/>
      <c r="E61" s="52"/>
      <c r="F61" s="52"/>
      <c r="G61" s="52"/>
      <c r="H61" s="52"/>
      <c r="I61" s="194"/>
      <c r="J61" s="194"/>
      <c r="K61" s="194"/>
      <c r="L61" s="194"/>
      <c r="M61" s="98"/>
      <c r="N61" s="83"/>
      <c r="O61" s="56"/>
      <c r="P61" s="56"/>
    </row>
    <row r="62" spans="1:16" ht="12.75">
      <c r="A62" s="56"/>
      <c r="B62" s="47"/>
      <c r="C62" s="205" t="s">
        <v>1188</v>
      </c>
      <c r="D62" s="210"/>
      <c r="E62" s="210"/>
      <c r="F62" s="210"/>
      <c r="G62" s="210"/>
      <c r="H62" s="212"/>
      <c r="I62" s="194"/>
      <c r="J62" s="194"/>
      <c r="K62" s="194"/>
      <c r="L62" s="194"/>
      <c r="M62" s="98"/>
      <c r="N62" s="83"/>
      <c r="O62" s="56"/>
      <c r="P62" s="56"/>
    </row>
    <row r="63" spans="1:16" ht="12.75">
      <c r="A63" s="56"/>
      <c r="B63" s="47"/>
      <c r="C63" s="254" t="s">
        <v>887</v>
      </c>
      <c r="D63" s="89">
        <v>0</v>
      </c>
      <c r="E63" s="163" t="str">
        <f>CHOOSE((D63+1),"Canister","Launcher","Launcher w/Autoloader")</f>
        <v>Canister</v>
      </c>
      <c r="F63" s="163"/>
      <c r="G63" s="163"/>
      <c r="H63" s="216"/>
      <c r="I63" s="194"/>
      <c r="J63" s="194"/>
      <c r="K63" s="194"/>
      <c r="L63" s="194"/>
      <c r="M63" s="98"/>
      <c r="N63" s="83"/>
      <c r="O63" s="56"/>
      <c r="P63" s="56"/>
    </row>
    <row r="64" spans="1:16" ht="12.75">
      <c r="A64" s="56"/>
      <c r="B64" s="47"/>
      <c r="C64" s="177" t="s">
        <v>1189</v>
      </c>
      <c r="D64" s="25">
        <v>20</v>
      </c>
      <c r="E64" s="168"/>
      <c r="F64" s="168"/>
      <c r="G64" s="168"/>
      <c r="H64" s="172"/>
      <c r="I64" s="194"/>
      <c r="J64" s="194"/>
      <c r="K64" s="194"/>
      <c r="L64" s="194"/>
      <c r="M64" s="98"/>
      <c r="N64" s="83"/>
      <c r="O64" s="56"/>
      <c r="P64" s="56"/>
    </row>
    <row r="65" spans="1:16" ht="12.75">
      <c r="A65" s="56"/>
      <c r="B65" s="47"/>
      <c r="C65" s="177" t="s">
        <v>1190</v>
      </c>
      <c r="D65" s="25">
        <v>0</v>
      </c>
      <c r="E65" s="168"/>
      <c r="F65" s="168"/>
      <c r="G65" s="168"/>
      <c r="H65" s="172"/>
      <c r="I65" s="194"/>
      <c r="J65" s="194"/>
      <c r="K65" s="194"/>
      <c r="L65" s="194"/>
      <c r="M65" s="98"/>
      <c r="N65" s="83"/>
      <c r="O65" s="56"/>
      <c r="P65" s="56"/>
    </row>
    <row r="66" spans="1:16" ht="12.75">
      <c r="A66" s="56"/>
      <c r="B66" s="47"/>
      <c r="C66" s="177" t="s">
        <v>1191</v>
      </c>
      <c r="D66" s="25">
        <v>1</v>
      </c>
      <c r="E66" s="163" t="str">
        <f>CHOOSE((D66+1),"No","Yes")</f>
        <v>Yes</v>
      </c>
      <c r="F66" s="163"/>
      <c r="G66" s="163"/>
      <c r="H66" s="216"/>
      <c r="I66" s="194"/>
      <c r="J66" s="194"/>
      <c r="K66" s="194"/>
      <c r="L66" s="194"/>
      <c r="M66" s="98"/>
      <c r="N66" s="83"/>
      <c r="O66" s="56"/>
      <c r="P66" s="56"/>
    </row>
    <row r="67" spans="1:16" ht="12.75">
      <c r="A67" s="56"/>
      <c r="B67" s="47"/>
      <c r="C67" s="177" t="s">
        <v>1127</v>
      </c>
      <c r="D67" s="25">
        <v>1</v>
      </c>
      <c r="E67" s="163" t="str">
        <f>CHOOSE((D67+1),"No","Yes")</f>
        <v>Yes</v>
      </c>
      <c r="F67" s="163"/>
      <c r="G67" s="163"/>
      <c r="H67" s="216"/>
      <c r="I67" s="194"/>
      <c r="J67" s="194"/>
      <c r="K67" s="194"/>
      <c r="L67" s="194"/>
      <c r="M67" s="98"/>
      <c r="N67" s="83"/>
      <c r="O67" s="56"/>
      <c r="P67" s="56"/>
    </row>
    <row r="68" spans="1:16" ht="12.75">
      <c r="A68" s="56"/>
      <c r="B68" s="47"/>
      <c r="C68" s="276" t="s">
        <v>1192</v>
      </c>
      <c r="D68" s="25">
        <v>6</v>
      </c>
      <c r="E68" s="163" t="str">
        <f>IF(D67=0,"n/a",CHOOSE((D68+1),"0.5km","5km","50km","500km","5,000km","50,000km","500,000km"))</f>
        <v>500,000km</v>
      </c>
      <c r="F68" s="163"/>
      <c r="G68" s="163"/>
      <c r="H68" s="216"/>
      <c r="I68" s="194"/>
      <c r="J68" s="194"/>
      <c r="K68" s="194"/>
      <c r="L68" s="194"/>
      <c r="M68" s="98"/>
      <c r="N68" s="83"/>
      <c r="O68" s="56"/>
      <c r="P68" s="56"/>
    </row>
    <row r="69" spans="1:16" ht="12.75">
      <c r="A69" s="56"/>
      <c r="B69" s="47"/>
      <c r="C69" s="177" t="s">
        <v>1193</v>
      </c>
      <c r="D69" s="25">
        <v>5</v>
      </c>
      <c r="E69" s="163">
        <f>IF(D67=0,IF(D69&gt;0,CONCATENATE("Error: with no MFD, controlled missiles is 0.",""),""),"")</f>
      </c>
      <c r="F69" s="163"/>
      <c r="G69" s="163"/>
      <c r="H69" s="216"/>
      <c r="I69" s="194"/>
      <c r="J69" s="194"/>
      <c r="K69" s="194"/>
      <c r="L69" s="194"/>
      <c r="M69" s="98"/>
      <c r="N69" s="83"/>
      <c r="O69" s="56"/>
      <c r="P69" s="56"/>
    </row>
    <row r="70" spans="1:16" ht="12.75">
      <c r="A70" s="465"/>
      <c r="B70" s="476"/>
      <c r="C70" s="477" t="s">
        <v>1194</v>
      </c>
      <c r="D70" s="478">
        <v>3</v>
      </c>
      <c r="E70" s="163">
        <f>IF(D70&gt;Tables!E351,CONCATENATE("Error: Exceeds max salvo of ",Tables!E351),"")</f>
      </c>
      <c r="F70" s="163"/>
      <c r="G70" s="163"/>
      <c r="H70" s="216"/>
      <c r="I70" s="483"/>
      <c r="J70" s="483"/>
      <c r="K70" s="483"/>
      <c r="L70" s="483"/>
      <c r="M70" s="463"/>
      <c r="N70" s="464"/>
      <c r="O70" s="465"/>
      <c r="P70" s="465"/>
    </row>
    <row r="71" spans="1:16" ht="12.75">
      <c r="A71" s="56"/>
      <c r="B71" s="47"/>
      <c r="C71" s="298" t="s">
        <v>1131</v>
      </c>
      <c r="D71" s="295">
        <v>0</v>
      </c>
      <c r="E71" s="299"/>
      <c r="F71" s="299"/>
      <c r="G71" s="299"/>
      <c r="H71" s="300"/>
      <c r="I71" s="194"/>
      <c r="J71" s="194"/>
      <c r="K71" s="194"/>
      <c r="L71" s="194"/>
      <c r="M71" s="98"/>
      <c r="N71" s="83"/>
      <c r="O71" s="56"/>
      <c r="P71" s="56"/>
    </row>
    <row r="72" spans="1:16" ht="12.75">
      <c r="A72" s="56"/>
      <c r="B72" s="47"/>
      <c r="C72" s="179" t="s">
        <v>1195</v>
      </c>
      <c r="D72" s="31">
        <v>0</v>
      </c>
      <c r="E72" s="224" t="str">
        <f>CHOOSE((D72+1),"None","42m turret","84m turret","50std bay","100std bay")</f>
        <v>None</v>
      </c>
      <c r="F72" s="211"/>
      <c r="G72" s="211"/>
      <c r="H72" s="214"/>
      <c r="I72" s="194"/>
      <c r="J72" s="194"/>
      <c r="K72" s="194"/>
      <c r="L72" s="194"/>
      <c r="M72" s="98"/>
      <c r="N72" s="83"/>
      <c r="O72" s="56"/>
      <c r="P72" s="56"/>
    </row>
    <row r="73" spans="1:16" ht="12.75">
      <c r="A73" s="56"/>
      <c r="B73" s="47"/>
      <c r="C73" s="52"/>
      <c r="D73" s="52"/>
      <c r="E73" s="52"/>
      <c r="F73" s="52"/>
      <c r="G73" s="52"/>
      <c r="H73" s="52"/>
      <c r="I73" s="194"/>
      <c r="J73" s="194"/>
      <c r="K73" s="194"/>
      <c r="L73" s="194"/>
      <c r="M73" s="98"/>
      <c r="N73" s="83"/>
      <c r="O73" s="56"/>
      <c r="P73" s="56"/>
    </row>
    <row r="74" spans="1:16" ht="12.75">
      <c r="A74" s="56"/>
      <c r="B74" s="47"/>
      <c r="C74" s="205" t="s">
        <v>1196</v>
      </c>
      <c r="D74" s="207"/>
      <c r="E74" s="207"/>
      <c r="F74" s="207"/>
      <c r="G74" s="207"/>
      <c r="H74" s="241"/>
      <c r="I74" s="241" t="s">
        <v>1197</v>
      </c>
      <c r="J74" s="242" t="s">
        <v>911</v>
      </c>
      <c r="K74" s="242" t="s">
        <v>912</v>
      </c>
      <c r="L74" s="242" t="s">
        <v>913</v>
      </c>
      <c r="M74" s="176" t="s">
        <v>1142</v>
      </c>
      <c r="N74" s="83"/>
      <c r="O74" s="56"/>
      <c r="P74" s="56"/>
    </row>
    <row r="75" spans="1:16" ht="12.75">
      <c r="A75" s="56"/>
      <c r="B75" s="47"/>
      <c r="C75" s="254" t="s">
        <v>1198</v>
      </c>
      <c r="D75" s="168"/>
      <c r="E75" s="168"/>
      <c r="F75" s="168"/>
      <c r="G75" s="168"/>
      <c r="H75" s="234"/>
      <c r="I75" s="239">
        <f>CHOOSE((D63+1),E9*1.1,E9*2,E9*4)*D64</f>
        <v>154.00000000000003</v>
      </c>
      <c r="J75" s="18">
        <f>(I75*CHOOSE((D63+1),0.1,0.5,0.5))+(D64*J55)</f>
        <v>155.4</v>
      </c>
      <c r="K75" s="18">
        <f>D10^2*D64</f>
        <v>30.258</v>
      </c>
      <c r="L75" s="237"/>
      <c r="M75" s="116">
        <f>CHOOSE((I63+1),0.0001,0.0007,0.0014)*I75</f>
        <v>0.015400000000000004</v>
      </c>
      <c r="N75" s="83"/>
      <c r="O75" s="56"/>
      <c r="P75" s="56"/>
    </row>
    <row r="76" spans="1:16" ht="12.75">
      <c r="A76" s="56"/>
      <c r="B76" s="47"/>
      <c r="C76" s="254" t="s">
        <v>1199</v>
      </c>
      <c r="D76" s="168"/>
      <c r="E76" s="168"/>
      <c r="F76" s="168"/>
      <c r="G76" s="168"/>
      <c r="H76" s="234"/>
      <c r="I76" s="239">
        <f>E9*D65*D64</f>
        <v>0</v>
      </c>
      <c r="J76" s="18">
        <f>J55*D64*D65</f>
        <v>0</v>
      </c>
      <c r="K76" s="237"/>
      <c r="L76" s="237"/>
      <c r="M76" s="238"/>
      <c r="N76" s="83"/>
      <c r="O76" s="56"/>
      <c r="P76" s="56"/>
    </row>
    <row r="77" spans="1:16" ht="12.75">
      <c r="A77" s="56"/>
      <c r="B77" s="47"/>
      <c r="C77" s="254" t="s">
        <v>980</v>
      </c>
      <c r="D77" s="168"/>
      <c r="E77" s="168"/>
      <c r="F77" s="168"/>
      <c r="G77" s="168"/>
      <c r="H77" s="234"/>
      <c r="I77" s="239">
        <f>IF(AND(IF($E$17&lt;2,TRUE(),FALSE()),IF(D66&gt;0,TRUE(),FALSE())),I21,0)</f>
        <v>0.035</v>
      </c>
      <c r="J77" s="18">
        <f>IF(AND(IF($E$17&lt;2,TRUE(),FALSE()),IF(D66&gt;0,TRUE(),FALSE())),J21,0)</f>
        <v>0.07</v>
      </c>
      <c r="K77" s="18">
        <f>IF(AND(IF($E$17&lt;2,TRUE(),FALSE()),IF(D66&gt;0,TRUE(),FALSE())),K21,0)</f>
        <v>1</v>
      </c>
      <c r="L77" s="18">
        <f>IF(AND(IF($E$17&lt;2,TRUE(),FALSE()),IF(D66&gt;0,TRUE(),FALSE())),L21,0)</f>
        <v>0.002019</v>
      </c>
      <c r="M77" s="116">
        <f>IF(AND(IF($E$17&lt;2,TRUE(),FALSE()),IF(D66&gt;0,TRUE(),FALSE())),M21,0)</f>
        <v>0.071</v>
      </c>
      <c r="N77" s="83"/>
      <c r="O77" s="56"/>
      <c r="P77" s="56"/>
    </row>
    <row r="78" spans="1:16" ht="12.75">
      <c r="A78" s="56"/>
      <c r="B78" s="47"/>
      <c r="C78" s="254" t="s">
        <v>1200</v>
      </c>
      <c r="D78" s="168"/>
      <c r="E78" s="168"/>
      <c r="F78" s="168"/>
      <c r="G78" s="168"/>
      <c r="H78" s="234"/>
      <c r="I78" s="239">
        <f>IF(D66=0,0,IF(D67=0,7,IF(Design!F230&gt;0,14,7)))</f>
        <v>7</v>
      </c>
      <c r="J78" s="18">
        <f>IF(D66=0,0,0.2)</f>
        <v>0.2</v>
      </c>
      <c r="K78" s="237"/>
      <c r="L78" s="237"/>
      <c r="M78" s="238"/>
      <c r="N78" s="83"/>
      <c r="O78" s="56"/>
      <c r="P78" s="56"/>
    </row>
    <row r="79" spans="1:16" ht="12.75">
      <c r="A79" s="56"/>
      <c r="B79" s="47"/>
      <c r="C79" s="254" t="s">
        <v>1201</v>
      </c>
      <c r="D79" s="168"/>
      <c r="E79" s="168"/>
      <c r="F79" s="168"/>
      <c r="G79" s="168"/>
      <c r="H79" s="234"/>
      <c r="I79" s="19">
        <f>IF(D67=0,0,VLOOKUP(D68,Tables!D128:Z134,(D7+1+1))*Tables!E347)</f>
        <v>66.66</v>
      </c>
      <c r="J79" s="19">
        <f>I79</f>
        <v>66.66</v>
      </c>
      <c r="K79" s="106"/>
      <c r="L79" s="19">
        <f>I79*0.01</f>
        <v>0.6666</v>
      </c>
      <c r="M79" s="120">
        <f>I79</f>
        <v>66.66</v>
      </c>
      <c r="N79" s="83"/>
      <c r="O79" s="56"/>
      <c r="P79" s="56"/>
    </row>
    <row r="80" spans="1:16" ht="12.75">
      <c r="A80" s="56"/>
      <c r="B80" s="47"/>
      <c r="C80" s="282" t="s">
        <v>570</v>
      </c>
      <c r="D80" s="168"/>
      <c r="E80" s="168"/>
      <c r="F80" s="168"/>
      <c r="G80" s="168"/>
      <c r="H80" s="234"/>
      <c r="I80" s="19">
        <f>Tables!E349*Tables!F349</f>
        <v>0</v>
      </c>
      <c r="J80" s="19">
        <f>I80*Tables!F10</f>
        <v>0</v>
      </c>
      <c r="K80" s="106"/>
      <c r="L80" s="19">
        <f>I80*Tables!F12</f>
        <v>0</v>
      </c>
      <c r="M80" s="120">
        <f>Tables!F11*I80</f>
        <v>0</v>
      </c>
      <c r="N80" s="83"/>
      <c r="O80" s="56"/>
      <c r="P80" s="56"/>
    </row>
    <row r="81" spans="1:16" ht="12.75">
      <c r="A81" s="56"/>
      <c r="B81" s="47"/>
      <c r="C81" s="254" t="s">
        <v>1132</v>
      </c>
      <c r="D81" s="168"/>
      <c r="E81" s="168"/>
      <c r="F81" s="168"/>
      <c r="G81" s="168"/>
      <c r="H81" s="234"/>
      <c r="I81" s="18">
        <f>IF(D72=0,0,CHOOSE((D72+1),0,42,84,700,1400)-SUM(I75:I80))</f>
        <v>0</v>
      </c>
      <c r="J81" s="237"/>
      <c r="K81" s="237"/>
      <c r="L81" s="237"/>
      <c r="M81" s="238"/>
      <c r="N81" s="83"/>
      <c r="O81" s="56"/>
      <c r="P81" s="56"/>
    </row>
    <row r="82" spans="1:16" ht="12.75">
      <c r="A82" s="56"/>
      <c r="B82" s="47"/>
      <c r="C82" s="199" t="s">
        <v>341</v>
      </c>
      <c r="D82" s="233"/>
      <c r="E82" s="233"/>
      <c r="F82" s="233"/>
      <c r="G82" s="233"/>
      <c r="H82" s="235"/>
      <c r="I82" s="240">
        <f>IF(I81&lt;0,#VALUE!,SUM(I75:I81))</f>
        <v>227.69500000000002</v>
      </c>
      <c r="J82" s="240">
        <f>SUM(J75:J81)</f>
        <v>222.32999999999998</v>
      </c>
      <c r="K82" s="240">
        <f>SUM(K75:K81)</f>
        <v>31.258</v>
      </c>
      <c r="L82" s="240">
        <f>SUM(L75:L81)</f>
        <v>0.668619</v>
      </c>
      <c r="M82" s="173">
        <f>SUM(M75:M81)</f>
        <v>66.7464</v>
      </c>
      <c r="N82" s="83"/>
      <c r="O82" s="56"/>
      <c r="P82" s="56"/>
    </row>
    <row r="83" spans="1:16" ht="12.75">
      <c r="A83" s="56"/>
      <c r="B83" s="47"/>
      <c r="C83" s="52"/>
      <c r="D83" s="52"/>
      <c r="E83" s="52"/>
      <c r="F83" s="52"/>
      <c r="G83" s="52"/>
      <c r="H83" s="52"/>
      <c r="I83" s="194"/>
      <c r="J83" s="194"/>
      <c r="K83" s="194"/>
      <c r="L83" s="194"/>
      <c r="M83" s="98"/>
      <c r="N83" s="83"/>
      <c r="O83" s="56"/>
      <c r="P83" s="56"/>
    </row>
    <row r="84" spans="1:16" ht="12.75">
      <c r="A84" s="56"/>
      <c r="B84" s="47"/>
      <c r="C84" s="205" t="s">
        <v>1202</v>
      </c>
      <c r="D84" s="210"/>
      <c r="E84" s="210"/>
      <c r="F84" s="210"/>
      <c r="G84" s="210"/>
      <c r="H84" s="212"/>
      <c r="I84" s="194"/>
      <c r="J84" s="194"/>
      <c r="K84" s="194"/>
      <c r="L84" s="194"/>
      <c r="M84" s="98"/>
      <c r="N84" s="83"/>
      <c r="O84" s="56"/>
      <c r="P84" s="56"/>
    </row>
    <row r="85" spans="1:16" ht="12.75">
      <c r="A85" s="465"/>
      <c r="B85" s="476"/>
      <c r="C85" s="484" t="s">
        <v>553</v>
      </c>
      <c r="D85" s="485" t="str">
        <f>CONCATENATE(CHOOSE((D63+1),"Can ","Laun ","Auto "),ROUND(D64,0),"/",ROUND(D69,0)," ( /Mag:",ROUND(D64*D65,0)+D89,IF(D67&gt;0,CONCATENATE(" /MFD:",E68),""),IF(D71=0,"",CONCATENATE(" /Ar:",ROUND(VLOOKUP(D71/1.43,Tables!A2:B61,2)*10,0)," [",ROUND(D71,0),"]")),")")</f>
        <v>Can 20/5 ( /Mag:16 /MFD:500,000km)</v>
      </c>
      <c r="E85" s="485"/>
      <c r="F85" s="485"/>
      <c r="G85" s="485"/>
      <c r="H85" s="492"/>
      <c r="I85" s="483"/>
      <c r="J85" s="483"/>
      <c r="K85" s="483"/>
      <c r="L85" s="483"/>
      <c r="M85" s="463"/>
      <c r="N85" s="464"/>
      <c r="O85" s="465"/>
      <c r="P85" s="465"/>
    </row>
    <row r="86" spans="1:16" ht="12.75">
      <c r="A86" s="56"/>
      <c r="B86" s="47"/>
      <c r="C86" s="264" t="s">
        <v>1135</v>
      </c>
      <c r="D86" s="211" t="str">
        <f>CONCATENATE("(+",VLOOKUP(D70,Tables!$A$164:$B$172,2),") ",D60)</f>
        <v>(+2) Cmd DL 17:11 -6 def. 6G, Long</v>
      </c>
      <c r="E86" s="211"/>
      <c r="F86" s="211"/>
      <c r="G86" s="211"/>
      <c r="H86" s="214"/>
      <c r="I86" s="194"/>
      <c r="J86" s="194"/>
      <c r="K86" s="194"/>
      <c r="L86" s="194"/>
      <c r="M86" s="98"/>
      <c r="N86" s="83"/>
      <c r="O86" s="56"/>
      <c r="P86" s="56"/>
    </row>
    <row r="87" spans="1:16" ht="12.75">
      <c r="A87" s="56"/>
      <c r="B87" s="47"/>
      <c r="C87" s="52"/>
      <c r="D87" s="52"/>
      <c r="E87" s="52"/>
      <c r="F87" s="52"/>
      <c r="G87" s="52"/>
      <c r="H87" s="52"/>
      <c r="I87" s="194"/>
      <c r="J87" s="194"/>
      <c r="K87" s="194"/>
      <c r="L87" s="194"/>
      <c r="M87" s="98"/>
      <c r="N87" s="83"/>
      <c r="O87" s="56"/>
      <c r="P87" s="56"/>
    </row>
    <row r="88" spans="1:16" ht="12.75">
      <c r="A88" s="56"/>
      <c r="B88" s="47"/>
      <c r="C88" s="205" t="s">
        <v>1147</v>
      </c>
      <c r="D88" s="212"/>
      <c r="E88" s="52"/>
      <c r="F88" s="52"/>
      <c r="G88" s="52"/>
      <c r="H88" s="52"/>
      <c r="I88" s="194"/>
      <c r="J88" s="194"/>
      <c r="K88" s="194"/>
      <c r="L88" s="194"/>
      <c r="M88" s="98"/>
      <c r="N88" s="83"/>
      <c r="O88" s="56"/>
      <c r="P88" s="56"/>
    </row>
    <row r="89" spans="1:16" ht="12.75">
      <c r="A89" s="56"/>
      <c r="B89" s="47"/>
      <c r="C89" s="264" t="s">
        <v>1203</v>
      </c>
      <c r="D89" s="5">
        <v>16</v>
      </c>
      <c r="E89" s="52"/>
      <c r="F89" s="52"/>
      <c r="G89" s="52"/>
      <c r="H89" s="52"/>
      <c r="I89" s="194"/>
      <c r="J89" s="194"/>
      <c r="K89" s="194"/>
      <c r="L89" s="194"/>
      <c r="M89" s="98"/>
      <c r="N89" s="83"/>
      <c r="O89" s="56"/>
      <c r="P89" s="56"/>
    </row>
    <row r="90" spans="1:16" ht="12.75">
      <c r="A90" s="56"/>
      <c r="B90" s="47"/>
      <c r="C90" s="152"/>
      <c r="D90" s="152"/>
      <c r="E90" s="152"/>
      <c r="F90" s="152"/>
      <c r="G90" s="152"/>
      <c r="H90" s="152"/>
      <c r="I90" s="153"/>
      <c r="J90" s="153"/>
      <c r="K90" s="153"/>
      <c r="L90" s="153"/>
      <c r="M90" s="174"/>
      <c r="N90" s="83"/>
      <c r="O90" s="56"/>
      <c r="P90" s="56"/>
    </row>
    <row r="91" spans="1:16" ht="12.75">
      <c r="A91" s="56"/>
      <c r="B91" s="47"/>
      <c r="C91" s="183" t="s">
        <v>1204</v>
      </c>
      <c r="D91" s="103"/>
      <c r="E91" s="195"/>
      <c r="F91" s="195"/>
      <c r="G91" s="195"/>
      <c r="H91" s="195"/>
      <c r="I91" s="195"/>
      <c r="J91" s="153"/>
      <c r="K91" s="153"/>
      <c r="L91" s="153"/>
      <c r="M91" s="174"/>
      <c r="N91" s="83"/>
      <c r="O91" s="56"/>
      <c r="P91" s="56"/>
    </row>
    <row r="92" spans="1:16" ht="12.75">
      <c r="A92" s="56"/>
      <c r="B92" s="47"/>
      <c r="C92" s="249" t="s">
        <v>1205</v>
      </c>
      <c r="D92" s="112">
        <f>I82+(D89*E9)</f>
        <v>339.69500000000005</v>
      </c>
      <c r="E92" s="195"/>
      <c r="F92" s="195"/>
      <c r="G92" s="195"/>
      <c r="H92" s="195"/>
      <c r="I92" s="195"/>
      <c r="J92" s="153"/>
      <c r="K92" s="153"/>
      <c r="L92" s="153"/>
      <c r="M92" s="174"/>
      <c r="N92" s="83"/>
      <c r="O92" s="56"/>
      <c r="P92" s="56"/>
    </row>
    <row r="93" spans="1:16" ht="12.75">
      <c r="A93" s="56"/>
      <c r="B93" s="47"/>
      <c r="C93" s="177" t="s">
        <v>1206</v>
      </c>
      <c r="D93" s="144">
        <f>J82+(D89*J55)</f>
        <v>334.33</v>
      </c>
      <c r="E93" s="195"/>
      <c r="F93" s="195"/>
      <c r="G93" s="195"/>
      <c r="H93" s="195"/>
      <c r="I93" s="195"/>
      <c r="J93" s="153"/>
      <c r="K93" s="153"/>
      <c r="L93" s="153"/>
      <c r="M93" s="174"/>
      <c r="N93" s="83"/>
      <c r="O93" s="56"/>
      <c r="P93" s="56"/>
    </row>
    <row r="94" spans="1:16" ht="12.75">
      <c r="A94" s="56"/>
      <c r="B94" s="47"/>
      <c r="C94" s="177" t="s">
        <v>1207</v>
      </c>
      <c r="D94" s="144">
        <f>CHOOSE((D72+1),K82,10,16,90,150)</f>
        <v>31.258</v>
      </c>
      <c r="E94" s="195"/>
      <c r="F94" s="195"/>
      <c r="G94" s="195"/>
      <c r="H94" s="195"/>
      <c r="I94" s="195"/>
      <c r="J94" s="153"/>
      <c r="K94" s="153"/>
      <c r="L94" s="153"/>
      <c r="M94" s="174"/>
      <c r="N94" s="83"/>
      <c r="O94" s="56"/>
      <c r="P94" s="56"/>
    </row>
    <row r="95" spans="1:16" ht="12.75">
      <c r="A95" s="56"/>
      <c r="B95" s="47"/>
      <c r="C95" s="177" t="s">
        <v>1208</v>
      </c>
      <c r="D95" s="144">
        <f>L82</f>
        <v>0.668619</v>
      </c>
      <c r="E95" s="195"/>
      <c r="F95" s="195"/>
      <c r="G95" s="195"/>
      <c r="H95" s="195"/>
      <c r="I95" s="195"/>
      <c r="J95" s="153"/>
      <c r="K95" s="153"/>
      <c r="L95" s="153"/>
      <c r="M95" s="174"/>
      <c r="N95" s="83"/>
      <c r="O95" s="56"/>
      <c r="P95" s="56"/>
    </row>
    <row r="96" spans="1:16" ht="12.75">
      <c r="A96" s="56"/>
      <c r="B96" s="47"/>
      <c r="C96" s="177" t="s">
        <v>1209</v>
      </c>
      <c r="D96" s="116">
        <f>M82</f>
        <v>66.7464</v>
      </c>
      <c r="E96" s="195"/>
      <c r="F96" s="195"/>
      <c r="G96" s="195"/>
      <c r="H96" s="195"/>
      <c r="I96" s="195"/>
      <c r="J96" s="153"/>
      <c r="K96" s="153"/>
      <c r="L96" s="153"/>
      <c r="M96" s="174"/>
      <c r="N96" s="83"/>
      <c r="O96" s="56"/>
      <c r="P96" s="56"/>
    </row>
    <row r="97" spans="1:16" ht="12.75">
      <c r="A97" s="56"/>
      <c r="B97" s="47"/>
      <c r="C97" s="179" t="s">
        <v>1210</v>
      </c>
      <c r="D97" s="16">
        <v>1</v>
      </c>
      <c r="E97" s="195"/>
      <c r="F97" s="195"/>
      <c r="G97" s="195"/>
      <c r="H97" s="195"/>
      <c r="I97" s="195"/>
      <c r="J97" s="153"/>
      <c r="K97" s="153"/>
      <c r="L97" s="153"/>
      <c r="M97" s="174"/>
      <c r="N97" s="83"/>
      <c r="O97" s="56"/>
      <c r="P97" s="56"/>
    </row>
    <row r="98" spans="1:16" ht="12.75">
      <c r="A98" s="56"/>
      <c r="B98" s="180"/>
      <c r="C98" s="256"/>
      <c r="D98" s="256"/>
      <c r="E98" s="256"/>
      <c r="F98" s="256"/>
      <c r="G98" s="256"/>
      <c r="H98" s="256"/>
      <c r="I98" s="181"/>
      <c r="J98" s="181"/>
      <c r="K98" s="181"/>
      <c r="L98" s="181"/>
      <c r="M98" s="143"/>
      <c r="N98" s="258"/>
      <c r="O98" s="56"/>
      <c r="P98" s="56"/>
    </row>
    <row r="99" spans="1:16" ht="12.75">
      <c r="A99" s="56"/>
      <c r="B99" s="56"/>
      <c r="C99" s="56"/>
      <c r="D99" s="56"/>
      <c r="E99" s="56"/>
      <c r="F99" s="56"/>
      <c r="G99" s="56"/>
      <c r="H99" s="56"/>
      <c r="I99" s="243"/>
      <c r="J99" s="243"/>
      <c r="K99" s="243"/>
      <c r="L99" s="243"/>
      <c r="M99" s="244"/>
      <c r="N99" s="56"/>
      <c r="O99" s="56"/>
      <c r="P99" s="56"/>
    </row>
    <row r="100" spans="1:16" ht="12.75">
      <c r="A100" s="56"/>
      <c r="B100" s="56"/>
      <c r="C100" s="56"/>
      <c r="D100" s="56"/>
      <c r="E100" s="56"/>
      <c r="F100" s="56"/>
      <c r="G100" s="56"/>
      <c r="H100" s="56"/>
      <c r="I100" s="243"/>
      <c r="J100" s="243"/>
      <c r="K100" s="243"/>
      <c r="L100" s="243"/>
      <c r="M100" s="244"/>
      <c r="N100" s="56"/>
      <c r="O100" s="56"/>
      <c r="P100" s="56"/>
    </row>
    <row r="101" spans="1:16" ht="12.75">
      <c r="A101" s="56"/>
      <c r="B101" s="56"/>
      <c r="C101" s="56"/>
      <c r="D101" s="56"/>
      <c r="E101" s="56"/>
      <c r="F101" s="56"/>
      <c r="G101" s="56"/>
      <c r="H101" s="56"/>
      <c r="I101" s="243"/>
      <c r="J101" s="243"/>
      <c r="K101" s="243"/>
      <c r="L101" s="243"/>
      <c r="M101" s="244"/>
      <c r="N101" s="56"/>
      <c r="O101" s="56"/>
      <c r="P101" s="56"/>
    </row>
    <row r="102" spans="1:16" ht="12.75">
      <c r="A102" s="56"/>
      <c r="B102" s="56"/>
      <c r="C102" s="56"/>
      <c r="D102" s="56"/>
      <c r="E102" s="56"/>
      <c r="F102" s="56"/>
      <c r="G102" s="56"/>
      <c r="H102" s="56"/>
      <c r="I102" s="243"/>
      <c r="J102" s="243"/>
      <c r="K102" s="243"/>
      <c r="L102" s="243"/>
      <c r="M102" s="244"/>
      <c r="N102" s="56"/>
      <c r="O102" s="56"/>
      <c r="P102" s="56"/>
    </row>
    <row r="103" spans="1:16" ht="12.75">
      <c r="A103" s="56"/>
      <c r="B103" s="56"/>
      <c r="C103" s="56"/>
      <c r="D103" s="56"/>
      <c r="E103" s="56"/>
      <c r="F103" s="56"/>
      <c r="G103" s="56"/>
      <c r="H103" s="56"/>
      <c r="I103" s="243"/>
      <c r="J103" s="243"/>
      <c r="K103" s="243"/>
      <c r="L103" s="243"/>
      <c r="M103" s="244"/>
      <c r="N103" s="56"/>
      <c r="O103" s="56"/>
      <c r="P103" s="56"/>
    </row>
    <row r="104" spans="1:16" ht="12.75">
      <c r="A104" s="56"/>
      <c r="B104" s="56"/>
      <c r="C104" s="56"/>
      <c r="D104" s="56"/>
      <c r="E104" s="56"/>
      <c r="F104" s="56"/>
      <c r="G104" s="56"/>
      <c r="H104" s="56"/>
      <c r="I104" s="243"/>
      <c r="J104" s="243"/>
      <c r="K104" s="243"/>
      <c r="L104" s="243"/>
      <c r="M104" s="244"/>
      <c r="N104" s="56"/>
      <c r="O104" s="56"/>
      <c r="P104" s="56"/>
    </row>
    <row r="105" spans="1:16" ht="12.75">
      <c r="A105" s="56"/>
      <c r="B105" s="56"/>
      <c r="C105" s="56"/>
      <c r="D105" s="56"/>
      <c r="E105" s="56"/>
      <c r="F105" s="56"/>
      <c r="G105" s="56"/>
      <c r="H105" s="56"/>
      <c r="I105" s="243"/>
      <c r="J105" s="243"/>
      <c r="K105" s="243"/>
      <c r="L105" s="243"/>
      <c r="M105" s="244"/>
      <c r="N105" s="56"/>
      <c r="O105" s="56"/>
      <c r="P105" s="56"/>
    </row>
    <row r="106" spans="1:16" ht="12.75">
      <c r="A106" s="56"/>
      <c r="B106" s="56"/>
      <c r="C106" s="56"/>
      <c r="D106" s="56"/>
      <c r="E106" s="56"/>
      <c r="F106" s="56"/>
      <c r="G106" s="56"/>
      <c r="H106" s="56"/>
      <c r="I106" s="243"/>
      <c r="J106" s="243"/>
      <c r="K106" s="243"/>
      <c r="L106" s="243"/>
      <c r="M106" s="244"/>
      <c r="N106" s="56"/>
      <c r="O106" s="56"/>
      <c r="P106" s="56"/>
    </row>
    <row r="107" spans="1:16" ht="12.75">
      <c r="A107" s="56"/>
      <c r="B107" s="56"/>
      <c r="C107" s="56"/>
      <c r="D107" s="56"/>
      <c r="E107" s="56"/>
      <c r="F107" s="56"/>
      <c r="G107" s="56"/>
      <c r="H107" s="56"/>
      <c r="I107" s="243"/>
      <c r="J107" s="243"/>
      <c r="K107" s="243"/>
      <c r="L107" s="243"/>
      <c r="M107" s="244"/>
      <c r="N107" s="56"/>
      <c r="O107" s="56"/>
      <c r="P107" s="56"/>
    </row>
    <row r="108" spans="1:16" ht="12.75">
      <c r="A108" s="56"/>
      <c r="B108" s="56"/>
      <c r="C108" s="56"/>
      <c r="D108" s="56"/>
      <c r="E108" s="56"/>
      <c r="F108" s="56"/>
      <c r="G108" s="56"/>
      <c r="H108" s="56"/>
      <c r="I108" s="243"/>
      <c r="J108" s="243"/>
      <c r="K108" s="243"/>
      <c r="L108" s="243"/>
      <c r="M108" s="244"/>
      <c r="N108" s="56"/>
      <c r="O108" s="56"/>
      <c r="P108" s="56"/>
    </row>
    <row r="109" spans="1:16" ht="12.75">
      <c r="A109" s="56"/>
      <c r="B109" s="56"/>
      <c r="C109" s="56"/>
      <c r="D109" s="56"/>
      <c r="E109" s="56"/>
      <c r="F109" s="56"/>
      <c r="G109" s="56"/>
      <c r="H109" s="56"/>
      <c r="I109" s="243"/>
      <c r="J109" s="243"/>
      <c r="K109" s="243"/>
      <c r="L109" s="243"/>
      <c r="M109" s="244"/>
      <c r="N109" s="56"/>
      <c r="O109" s="56"/>
      <c r="P109" s="56"/>
    </row>
    <row r="110" spans="1:16" ht="12.75">
      <c r="A110" s="56"/>
      <c r="B110" s="56"/>
      <c r="C110" s="56"/>
      <c r="D110" s="56"/>
      <c r="E110" s="56"/>
      <c r="F110" s="56"/>
      <c r="G110" s="56"/>
      <c r="H110" s="56"/>
      <c r="I110" s="243"/>
      <c r="J110" s="243"/>
      <c r="K110" s="243"/>
      <c r="L110" s="243"/>
      <c r="M110" s="244"/>
      <c r="N110" s="56"/>
      <c r="O110" s="56"/>
      <c r="P110" s="56"/>
    </row>
    <row r="111" spans="1:16" ht="12.75">
      <c r="A111" s="56"/>
      <c r="B111" s="56"/>
      <c r="C111" s="56"/>
      <c r="D111" s="56"/>
      <c r="E111" s="56"/>
      <c r="F111" s="56"/>
      <c r="G111" s="56"/>
      <c r="H111" s="56"/>
      <c r="I111" s="243"/>
      <c r="J111" s="243"/>
      <c r="K111" s="243"/>
      <c r="L111" s="243"/>
      <c r="M111" s="244"/>
      <c r="N111" s="56"/>
      <c r="O111" s="56"/>
      <c r="P111" s="56"/>
    </row>
    <row r="112" spans="1:16" ht="12.75">
      <c r="A112" s="56"/>
      <c r="B112" s="56"/>
      <c r="C112" s="56"/>
      <c r="D112" s="56"/>
      <c r="E112" s="56"/>
      <c r="F112" s="56"/>
      <c r="G112" s="56"/>
      <c r="H112" s="56"/>
      <c r="I112" s="243"/>
      <c r="J112" s="243"/>
      <c r="K112" s="243"/>
      <c r="L112" s="243"/>
      <c r="M112" s="244"/>
      <c r="N112" s="56"/>
      <c r="O112" s="56"/>
      <c r="P112" s="56"/>
    </row>
    <row r="113" spans="1:16" ht="12.75">
      <c r="A113" s="56"/>
      <c r="B113" s="56"/>
      <c r="C113" s="56"/>
      <c r="D113" s="56"/>
      <c r="E113" s="56"/>
      <c r="F113" s="56"/>
      <c r="G113" s="56"/>
      <c r="H113" s="56"/>
      <c r="I113" s="243"/>
      <c r="J113" s="243"/>
      <c r="K113" s="243"/>
      <c r="L113" s="243"/>
      <c r="M113" s="244"/>
      <c r="N113" s="56"/>
      <c r="O113" s="56"/>
      <c r="P113" s="56"/>
    </row>
    <row r="114" spans="1:16" ht="12.75">
      <c r="A114" s="56"/>
      <c r="B114" s="56"/>
      <c r="C114" s="56"/>
      <c r="D114" s="56"/>
      <c r="E114" s="56"/>
      <c r="F114" s="56"/>
      <c r="G114" s="56"/>
      <c r="H114" s="56"/>
      <c r="I114" s="243"/>
      <c r="J114" s="243"/>
      <c r="K114" s="243"/>
      <c r="L114" s="243"/>
      <c r="M114" s="244"/>
      <c r="N114" s="56"/>
      <c r="O114" s="56"/>
      <c r="P114" s="56"/>
    </row>
    <row r="115" spans="1:16" ht="12.75">
      <c r="A115" s="56"/>
      <c r="B115" s="56"/>
      <c r="C115" s="56"/>
      <c r="D115" s="56"/>
      <c r="E115" s="56"/>
      <c r="F115" s="56"/>
      <c r="G115" s="56"/>
      <c r="H115" s="56"/>
      <c r="I115" s="243"/>
      <c r="J115" s="243"/>
      <c r="K115" s="243"/>
      <c r="L115" s="243"/>
      <c r="M115" s="244"/>
      <c r="N115" s="56"/>
      <c r="O115" s="56"/>
      <c r="P115" s="56"/>
    </row>
    <row r="116" spans="1:16" ht="12.75">
      <c r="A116" s="56"/>
      <c r="B116" s="56"/>
      <c r="C116" s="56"/>
      <c r="D116" s="56"/>
      <c r="E116" s="56"/>
      <c r="F116" s="56"/>
      <c r="G116" s="56"/>
      <c r="H116" s="56"/>
      <c r="I116" s="243"/>
      <c r="J116" s="243"/>
      <c r="K116" s="243"/>
      <c r="L116" s="243"/>
      <c r="M116" s="244"/>
      <c r="N116" s="56"/>
      <c r="O116" s="56"/>
      <c r="P116" s="56"/>
    </row>
    <row r="117" spans="1:16" ht="12.75">
      <c r="A117" s="56"/>
      <c r="B117" s="56"/>
      <c r="C117" s="56"/>
      <c r="D117" s="56"/>
      <c r="E117" s="56"/>
      <c r="F117" s="56"/>
      <c r="G117" s="56"/>
      <c r="H117" s="56"/>
      <c r="I117" s="243"/>
      <c r="J117" s="243"/>
      <c r="K117" s="243"/>
      <c r="L117" s="243"/>
      <c r="M117" s="244"/>
      <c r="N117" s="56"/>
      <c r="O117" s="56"/>
      <c r="P117" s="56"/>
    </row>
    <row r="118" spans="1:16" ht="12.75">
      <c r="A118" s="56"/>
      <c r="B118" s="56"/>
      <c r="C118" s="56"/>
      <c r="D118" s="56"/>
      <c r="E118" s="56"/>
      <c r="F118" s="56"/>
      <c r="G118" s="56"/>
      <c r="H118" s="56"/>
      <c r="I118" s="243"/>
      <c r="J118" s="243"/>
      <c r="K118" s="243"/>
      <c r="L118" s="243"/>
      <c r="M118" s="244"/>
      <c r="N118" s="56"/>
      <c r="O118" s="56"/>
      <c r="P118" s="56"/>
    </row>
    <row r="119" spans="1:16" ht="12.75">
      <c r="A119" s="56"/>
      <c r="B119" s="56"/>
      <c r="C119" s="56"/>
      <c r="D119" s="56"/>
      <c r="E119" s="56"/>
      <c r="F119" s="56"/>
      <c r="G119" s="56"/>
      <c r="H119" s="56"/>
      <c r="I119" s="243"/>
      <c r="J119" s="243"/>
      <c r="K119" s="243"/>
      <c r="L119" s="243"/>
      <c r="M119" s="244"/>
      <c r="N119" s="56"/>
      <c r="O119" s="56"/>
      <c r="P119" s="56"/>
    </row>
    <row r="120" spans="1:16" ht="12.75">
      <c r="A120" s="56"/>
      <c r="B120" s="56"/>
      <c r="C120" s="56"/>
      <c r="D120" s="56"/>
      <c r="E120" s="56"/>
      <c r="F120" s="56"/>
      <c r="G120" s="56"/>
      <c r="H120" s="56"/>
      <c r="I120" s="243"/>
      <c r="J120" s="243"/>
      <c r="K120" s="243"/>
      <c r="L120" s="243"/>
      <c r="M120" s="244"/>
      <c r="N120" s="56"/>
      <c r="O120" s="56"/>
      <c r="P120" s="56"/>
    </row>
    <row r="121" spans="1:16" ht="12.75">
      <c r="A121" s="56"/>
      <c r="B121" s="56"/>
      <c r="C121" s="56"/>
      <c r="D121" s="56"/>
      <c r="E121" s="56"/>
      <c r="F121" s="56"/>
      <c r="G121" s="56"/>
      <c r="H121" s="56"/>
      <c r="I121" s="243"/>
      <c r="J121" s="243"/>
      <c r="K121" s="243"/>
      <c r="L121" s="243"/>
      <c r="M121" s="244"/>
      <c r="N121" s="56"/>
      <c r="O121" s="56"/>
      <c r="P121" s="56"/>
    </row>
    <row r="122" spans="1:16" ht="12.75">
      <c r="A122" s="56"/>
      <c r="B122" s="56"/>
      <c r="C122" s="56"/>
      <c r="D122" s="56"/>
      <c r="E122" s="56"/>
      <c r="F122" s="56"/>
      <c r="G122" s="56"/>
      <c r="H122" s="56"/>
      <c r="I122" s="243"/>
      <c r="J122" s="243"/>
      <c r="K122" s="243"/>
      <c r="L122" s="243"/>
      <c r="M122" s="244"/>
      <c r="N122" s="56"/>
      <c r="O122" s="56"/>
      <c r="P122" s="56"/>
    </row>
    <row r="123" spans="1:16" ht="12.75">
      <c r="A123" s="56"/>
      <c r="B123" s="56"/>
      <c r="C123" s="56"/>
      <c r="D123" s="56"/>
      <c r="E123" s="56"/>
      <c r="F123" s="56"/>
      <c r="G123" s="56"/>
      <c r="H123" s="56"/>
      <c r="I123" s="243"/>
      <c r="J123" s="243"/>
      <c r="K123" s="243"/>
      <c r="L123" s="243"/>
      <c r="M123" s="244"/>
      <c r="N123" s="56"/>
      <c r="O123" s="56"/>
      <c r="P123" s="56"/>
    </row>
    <row r="124" spans="1:16" ht="12.75">
      <c r="A124" s="56"/>
      <c r="B124" s="56"/>
      <c r="C124" s="56"/>
      <c r="D124" s="56"/>
      <c r="E124" s="56"/>
      <c r="F124" s="56"/>
      <c r="G124" s="56"/>
      <c r="H124" s="56"/>
      <c r="I124" s="243"/>
      <c r="J124" s="243"/>
      <c r="K124" s="243"/>
      <c r="L124" s="243"/>
      <c r="M124" s="244"/>
      <c r="N124" s="56"/>
      <c r="O124" s="56"/>
      <c r="P124" s="56"/>
    </row>
    <row r="125" spans="1:16" ht="12.75">
      <c r="A125" s="56"/>
      <c r="B125" s="56"/>
      <c r="C125" s="56"/>
      <c r="D125" s="56"/>
      <c r="E125" s="56"/>
      <c r="F125" s="56"/>
      <c r="G125" s="56"/>
      <c r="H125" s="56"/>
      <c r="I125" s="243"/>
      <c r="J125" s="243"/>
      <c r="K125" s="243"/>
      <c r="L125" s="243"/>
      <c r="M125" s="244"/>
      <c r="N125" s="56"/>
      <c r="O125" s="56"/>
      <c r="P125" s="56"/>
    </row>
    <row r="126" spans="1:16" ht="12.75">
      <c r="A126" s="56"/>
      <c r="B126" s="56"/>
      <c r="C126" s="56"/>
      <c r="D126" s="56"/>
      <c r="E126" s="56"/>
      <c r="F126" s="56"/>
      <c r="G126" s="56"/>
      <c r="H126" s="56"/>
      <c r="I126" s="243"/>
      <c r="J126" s="243"/>
      <c r="K126" s="243"/>
      <c r="L126" s="243"/>
      <c r="M126" s="244"/>
      <c r="N126" s="56"/>
      <c r="O126" s="56"/>
      <c r="P126" s="56"/>
    </row>
    <row r="127" spans="1:16" ht="12.75">
      <c r="A127" s="56"/>
      <c r="B127" s="56"/>
      <c r="C127" s="56"/>
      <c r="D127" s="56"/>
      <c r="E127" s="56"/>
      <c r="F127" s="56"/>
      <c r="G127" s="56"/>
      <c r="H127" s="56"/>
      <c r="I127" s="243"/>
      <c r="J127" s="243"/>
      <c r="K127" s="243"/>
      <c r="L127" s="243"/>
      <c r="M127" s="244"/>
      <c r="N127" s="56"/>
      <c r="O127" s="56"/>
      <c r="P127" s="56"/>
    </row>
    <row r="128" spans="1:16" ht="12.75">
      <c r="A128" s="56"/>
      <c r="B128" s="56"/>
      <c r="C128" s="56"/>
      <c r="D128" s="56"/>
      <c r="E128" s="56"/>
      <c r="F128" s="56"/>
      <c r="G128" s="56"/>
      <c r="H128" s="56"/>
      <c r="I128" s="243"/>
      <c r="J128" s="243"/>
      <c r="K128" s="243"/>
      <c r="L128" s="243"/>
      <c r="M128" s="244"/>
      <c r="N128" s="56"/>
      <c r="O128" s="56"/>
      <c r="P128" s="56"/>
    </row>
    <row r="129" spans="1:16" ht="12.75">
      <c r="A129" s="56"/>
      <c r="B129" s="56"/>
      <c r="C129" s="56"/>
      <c r="D129" s="56"/>
      <c r="E129" s="56"/>
      <c r="F129" s="56"/>
      <c r="G129" s="56"/>
      <c r="H129" s="56"/>
      <c r="I129" s="243"/>
      <c r="J129" s="243"/>
      <c r="K129" s="243"/>
      <c r="L129" s="243"/>
      <c r="M129" s="244"/>
      <c r="N129" s="56"/>
      <c r="O129" s="56"/>
      <c r="P129" s="56"/>
    </row>
    <row r="130" spans="1:16" ht="12.75">
      <c r="A130" s="56"/>
      <c r="B130" s="56"/>
      <c r="C130" s="56"/>
      <c r="D130" s="56"/>
      <c r="E130" s="56"/>
      <c r="F130" s="56"/>
      <c r="G130" s="56"/>
      <c r="H130" s="56"/>
      <c r="I130" s="243"/>
      <c r="J130" s="243"/>
      <c r="K130" s="243"/>
      <c r="L130" s="243"/>
      <c r="M130" s="244"/>
      <c r="N130" s="56"/>
      <c r="O130" s="56"/>
      <c r="P130" s="56"/>
    </row>
    <row r="131" spans="1:16" ht="12.75">
      <c r="A131" s="56"/>
      <c r="B131" s="56"/>
      <c r="C131" s="56"/>
      <c r="D131" s="56"/>
      <c r="E131" s="56"/>
      <c r="F131" s="56"/>
      <c r="G131" s="56"/>
      <c r="H131" s="56"/>
      <c r="I131" s="243"/>
      <c r="J131" s="243"/>
      <c r="K131" s="243"/>
      <c r="L131" s="243"/>
      <c r="M131" s="244"/>
      <c r="N131" s="56"/>
      <c r="O131" s="56"/>
      <c r="P131" s="56"/>
    </row>
    <row r="132" spans="1:16" ht="12.75">
      <c r="A132" s="56"/>
      <c r="B132" s="56"/>
      <c r="C132" s="56"/>
      <c r="D132" s="56"/>
      <c r="E132" s="56"/>
      <c r="F132" s="56"/>
      <c r="G132" s="56"/>
      <c r="H132" s="56"/>
      <c r="I132" s="243"/>
      <c r="J132" s="243"/>
      <c r="K132" s="243"/>
      <c r="L132" s="243"/>
      <c r="M132" s="244"/>
      <c r="N132" s="56"/>
      <c r="O132" s="56"/>
      <c r="P132" s="56"/>
    </row>
    <row r="133" spans="1:16" ht="12.75">
      <c r="A133" s="56"/>
      <c r="B133" s="56"/>
      <c r="C133" s="56"/>
      <c r="D133" s="56"/>
      <c r="E133" s="56"/>
      <c r="F133" s="56"/>
      <c r="G133" s="56"/>
      <c r="H133" s="56"/>
      <c r="I133" s="243"/>
      <c r="J133" s="243"/>
      <c r="K133" s="243"/>
      <c r="L133" s="243"/>
      <c r="M133" s="244"/>
      <c r="N133" s="56"/>
      <c r="O133" s="56"/>
      <c r="P133" s="56"/>
    </row>
    <row r="134" spans="1:16" ht="12.75">
      <c r="A134" s="56"/>
      <c r="B134" s="56"/>
      <c r="C134" s="56"/>
      <c r="D134" s="56"/>
      <c r="E134" s="56"/>
      <c r="F134" s="56"/>
      <c r="G134" s="56"/>
      <c r="H134" s="56"/>
      <c r="I134" s="243"/>
      <c r="J134" s="243"/>
      <c r="K134" s="243"/>
      <c r="L134" s="243"/>
      <c r="M134" s="244"/>
      <c r="N134" s="56"/>
      <c r="O134" s="56"/>
      <c r="P134" s="56"/>
    </row>
    <row r="135" spans="1:16" ht="12.75">
      <c r="A135" s="56"/>
      <c r="B135" s="56"/>
      <c r="C135" s="56"/>
      <c r="D135" s="56"/>
      <c r="E135" s="56"/>
      <c r="F135" s="56"/>
      <c r="G135" s="56"/>
      <c r="H135" s="56"/>
      <c r="I135" s="243"/>
      <c r="J135" s="243"/>
      <c r="K135" s="243"/>
      <c r="L135" s="243"/>
      <c r="M135" s="244"/>
      <c r="N135" s="56"/>
      <c r="O135" s="56"/>
      <c r="P135" s="56"/>
    </row>
    <row r="136" spans="1:16" ht="12.75">
      <c r="A136" s="56"/>
      <c r="B136" s="56"/>
      <c r="C136" s="56"/>
      <c r="D136" s="56"/>
      <c r="E136" s="56"/>
      <c r="F136" s="56"/>
      <c r="G136" s="56"/>
      <c r="H136" s="56"/>
      <c r="I136" s="243"/>
      <c r="J136" s="243"/>
      <c r="K136" s="243"/>
      <c r="L136" s="243"/>
      <c r="M136" s="244"/>
      <c r="N136" s="56"/>
      <c r="O136" s="56"/>
      <c r="P136" s="56"/>
    </row>
    <row r="137" spans="1:16" ht="12.75">
      <c r="A137" s="56"/>
      <c r="B137" s="56"/>
      <c r="C137" s="56"/>
      <c r="D137" s="56"/>
      <c r="E137" s="56"/>
      <c r="F137" s="56"/>
      <c r="G137" s="56"/>
      <c r="H137" s="56"/>
      <c r="I137" s="243"/>
      <c r="J137" s="243"/>
      <c r="K137" s="243"/>
      <c r="L137" s="243"/>
      <c r="M137" s="244"/>
      <c r="N137" s="56"/>
      <c r="O137" s="56"/>
      <c r="P137" s="56"/>
    </row>
    <row r="138" spans="1:16" ht="12.75">
      <c r="A138" s="56"/>
      <c r="B138" s="56"/>
      <c r="C138" s="56"/>
      <c r="D138" s="56"/>
      <c r="E138" s="56"/>
      <c r="F138" s="56"/>
      <c r="G138" s="56"/>
      <c r="H138" s="56"/>
      <c r="I138" s="243"/>
      <c r="J138" s="243"/>
      <c r="K138" s="243"/>
      <c r="L138" s="243"/>
      <c r="M138" s="244"/>
      <c r="N138" s="56"/>
      <c r="O138" s="56"/>
      <c r="P138" s="56"/>
    </row>
    <row r="139" spans="1:16" ht="12.75">
      <c r="A139" s="56"/>
      <c r="B139" s="56"/>
      <c r="C139" s="56"/>
      <c r="D139" s="56"/>
      <c r="E139" s="56"/>
      <c r="F139" s="56"/>
      <c r="G139" s="56"/>
      <c r="H139" s="56"/>
      <c r="I139" s="243"/>
      <c r="J139" s="243"/>
      <c r="K139" s="243"/>
      <c r="L139" s="243"/>
      <c r="M139" s="244"/>
      <c r="N139" s="56"/>
      <c r="O139" s="56"/>
      <c r="P139" s="56"/>
    </row>
    <row r="140" spans="1:16" ht="12.75">
      <c r="A140" s="56"/>
      <c r="B140" s="56"/>
      <c r="C140" s="56"/>
      <c r="D140" s="56"/>
      <c r="E140" s="56"/>
      <c r="F140" s="56"/>
      <c r="G140" s="56"/>
      <c r="H140" s="56"/>
      <c r="I140" s="243"/>
      <c r="J140" s="243"/>
      <c r="K140" s="243"/>
      <c r="L140" s="243"/>
      <c r="M140" s="244"/>
      <c r="N140" s="56"/>
      <c r="O140" s="56"/>
      <c r="P140" s="56"/>
    </row>
    <row r="141" spans="1:16" ht="12.75">
      <c r="A141" s="56"/>
      <c r="B141" s="56"/>
      <c r="C141" s="56"/>
      <c r="D141" s="56"/>
      <c r="E141" s="56"/>
      <c r="F141" s="56"/>
      <c r="G141" s="56"/>
      <c r="H141" s="56"/>
      <c r="I141" s="243"/>
      <c r="J141" s="243"/>
      <c r="K141" s="243"/>
      <c r="L141" s="243"/>
      <c r="M141" s="244"/>
      <c r="N141" s="56"/>
      <c r="O141" s="56"/>
      <c r="P141" s="56"/>
    </row>
    <row r="142" spans="1:16" ht="12.75">
      <c r="A142" s="56"/>
      <c r="B142" s="56"/>
      <c r="C142" s="56"/>
      <c r="D142" s="56"/>
      <c r="E142" s="56"/>
      <c r="F142" s="56"/>
      <c r="G142" s="56"/>
      <c r="H142" s="56"/>
      <c r="I142" s="243"/>
      <c r="J142" s="243"/>
      <c r="K142" s="243"/>
      <c r="L142" s="243"/>
      <c r="M142" s="244"/>
      <c r="N142" s="56"/>
      <c r="O142" s="56"/>
      <c r="P142" s="56"/>
    </row>
    <row r="143" spans="1:16" ht="12.75">
      <c r="A143" s="56"/>
      <c r="B143" s="56"/>
      <c r="C143" s="56"/>
      <c r="D143" s="56"/>
      <c r="E143" s="56"/>
      <c r="F143" s="56"/>
      <c r="G143" s="56"/>
      <c r="H143" s="56"/>
      <c r="I143" s="243"/>
      <c r="J143" s="243"/>
      <c r="K143" s="243"/>
      <c r="L143" s="243"/>
      <c r="M143" s="244"/>
      <c r="N143" s="56"/>
      <c r="O143" s="56"/>
      <c r="P143" s="56"/>
    </row>
    <row r="144" spans="1:16" ht="12.75">
      <c r="A144" s="56"/>
      <c r="B144" s="56"/>
      <c r="C144" s="56"/>
      <c r="D144" s="56"/>
      <c r="E144" s="56"/>
      <c r="F144" s="56"/>
      <c r="G144" s="56"/>
      <c r="H144" s="56"/>
      <c r="I144" s="243"/>
      <c r="J144" s="243"/>
      <c r="K144" s="243"/>
      <c r="L144" s="243"/>
      <c r="M144" s="244"/>
      <c r="N144" s="56"/>
      <c r="O144" s="56"/>
      <c r="P144" s="56"/>
    </row>
    <row r="145" spans="1:16" ht="12.75">
      <c r="A145" s="56"/>
      <c r="B145" s="56"/>
      <c r="C145" s="56"/>
      <c r="D145" s="56"/>
      <c r="E145" s="56"/>
      <c r="F145" s="56"/>
      <c r="G145" s="56"/>
      <c r="H145" s="56"/>
      <c r="I145" s="243"/>
      <c r="J145" s="243"/>
      <c r="K145" s="243"/>
      <c r="L145" s="243"/>
      <c r="M145" s="244"/>
      <c r="N145" s="56"/>
      <c r="O145" s="56"/>
      <c r="P145" s="56"/>
    </row>
    <row r="146" spans="1:16" ht="12.75">
      <c r="A146" s="56"/>
      <c r="B146" s="56"/>
      <c r="C146" s="56"/>
      <c r="D146" s="56"/>
      <c r="E146" s="56"/>
      <c r="F146" s="56"/>
      <c r="G146" s="56"/>
      <c r="H146" s="56"/>
      <c r="I146" s="243"/>
      <c r="J146" s="243"/>
      <c r="K146" s="243"/>
      <c r="L146" s="243"/>
      <c r="M146" s="244"/>
      <c r="N146" s="56"/>
      <c r="O146" s="56"/>
      <c r="P146" s="56"/>
    </row>
    <row r="147" spans="1:16" ht="12.75">
      <c r="A147" s="56"/>
      <c r="B147" s="56"/>
      <c r="C147" s="56"/>
      <c r="D147" s="56"/>
      <c r="E147" s="56"/>
      <c r="F147" s="56"/>
      <c r="G147" s="56"/>
      <c r="H147" s="56"/>
      <c r="I147" s="243"/>
      <c r="J147" s="243"/>
      <c r="K147" s="243"/>
      <c r="L147" s="243"/>
      <c r="M147" s="244"/>
      <c r="N147" s="56"/>
      <c r="O147" s="56"/>
      <c r="P147" s="56"/>
    </row>
    <row r="148" spans="1:16" ht="12.75">
      <c r="A148" s="56"/>
      <c r="B148" s="56"/>
      <c r="C148" s="56"/>
      <c r="D148" s="56"/>
      <c r="E148" s="56"/>
      <c r="F148" s="56"/>
      <c r="G148" s="56"/>
      <c r="H148" s="56"/>
      <c r="I148" s="243"/>
      <c r="J148" s="243"/>
      <c r="K148" s="243"/>
      <c r="L148" s="243"/>
      <c r="M148" s="244"/>
      <c r="N148" s="56"/>
      <c r="O148" s="56"/>
      <c r="P148" s="56"/>
    </row>
    <row r="149" spans="1:16" ht="12.75">
      <c r="A149" s="56"/>
      <c r="B149" s="56"/>
      <c r="C149" s="56"/>
      <c r="D149" s="56"/>
      <c r="E149" s="56"/>
      <c r="F149" s="56"/>
      <c r="G149" s="56"/>
      <c r="H149" s="56"/>
      <c r="I149" s="243"/>
      <c r="J149" s="243"/>
      <c r="K149" s="243"/>
      <c r="L149" s="243"/>
      <c r="M149" s="244"/>
      <c r="N149" s="56"/>
      <c r="O149" s="56"/>
      <c r="P149" s="56"/>
    </row>
    <row r="150" spans="1:16" ht="12.75">
      <c r="A150" s="56"/>
      <c r="B150" s="56"/>
      <c r="C150" s="56"/>
      <c r="D150" s="56"/>
      <c r="E150" s="56"/>
      <c r="F150" s="56"/>
      <c r="G150" s="56"/>
      <c r="H150" s="56"/>
      <c r="I150" s="243"/>
      <c r="J150" s="243"/>
      <c r="K150" s="243"/>
      <c r="L150" s="243"/>
      <c r="M150" s="244"/>
      <c r="N150" s="56"/>
      <c r="O150" s="56"/>
      <c r="P150" s="56"/>
    </row>
    <row r="151" spans="1:16" ht="12.75">
      <c r="A151" s="56"/>
      <c r="B151" s="56"/>
      <c r="C151" s="56"/>
      <c r="D151" s="56"/>
      <c r="E151" s="56"/>
      <c r="F151" s="56"/>
      <c r="G151" s="56"/>
      <c r="H151" s="56"/>
      <c r="I151" s="243"/>
      <c r="J151" s="243"/>
      <c r="K151" s="243"/>
      <c r="L151" s="243"/>
      <c r="M151" s="244"/>
      <c r="N151" s="56"/>
      <c r="O151" s="56"/>
      <c r="P151" s="56"/>
    </row>
    <row r="152" spans="1:16" ht="12.75">
      <c r="A152" s="56"/>
      <c r="B152" s="56"/>
      <c r="C152" s="56"/>
      <c r="D152" s="56"/>
      <c r="E152" s="56"/>
      <c r="F152" s="56"/>
      <c r="G152" s="56"/>
      <c r="H152" s="56"/>
      <c r="I152" s="243"/>
      <c r="J152" s="243"/>
      <c r="K152" s="243"/>
      <c r="L152" s="243"/>
      <c r="M152" s="244"/>
      <c r="N152" s="56"/>
      <c r="O152" s="56"/>
      <c r="P152" s="56"/>
    </row>
    <row r="153" spans="1:16" ht="12.75">
      <c r="A153" s="56"/>
      <c r="B153" s="56"/>
      <c r="C153" s="56"/>
      <c r="D153" s="56"/>
      <c r="E153" s="56"/>
      <c r="F153" s="56"/>
      <c r="G153" s="56"/>
      <c r="H153" s="56"/>
      <c r="I153" s="243"/>
      <c r="J153" s="243"/>
      <c r="K153" s="243"/>
      <c r="L153" s="243"/>
      <c r="M153" s="244"/>
      <c r="N153" s="56"/>
      <c r="O153" s="56"/>
      <c r="P153" s="56"/>
    </row>
    <row r="154" spans="1:16" ht="12.75">
      <c r="A154" s="56"/>
      <c r="B154" s="56"/>
      <c r="C154" s="56"/>
      <c r="D154" s="56"/>
      <c r="E154" s="56"/>
      <c r="F154" s="56"/>
      <c r="G154" s="56"/>
      <c r="H154" s="56"/>
      <c r="I154" s="243"/>
      <c r="J154" s="243"/>
      <c r="K154" s="243"/>
      <c r="L154" s="243"/>
      <c r="M154" s="244"/>
      <c r="N154" s="56"/>
      <c r="O154" s="56"/>
      <c r="P154" s="56"/>
    </row>
    <row r="155" spans="1:16" ht="12.75">
      <c r="A155" s="56"/>
      <c r="B155" s="56"/>
      <c r="C155" s="56"/>
      <c r="D155" s="56"/>
      <c r="E155" s="56"/>
      <c r="F155" s="56"/>
      <c r="G155" s="56"/>
      <c r="H155" s="56"/>
      <c r="I155" s="243"/>
      <c r="J155" s="243"/>
      <c r="K155" s="243"/>
      <c r="L155" s="243"/>
      <c r="M155" s="244"/>
      <c r="N155" s="56"/>
      <c r="O155" s="56"/>
      <c r="P155" s="56"/>
    </row>
    <row r="156" spans="1:16" ht="12.75">
      <c r="A156" s="56"/>
      <c r="B156" s="56"/>
      <c r="C156" s="56"/>
      <c r="D156" s="56"/>
      <c r="E156" s="56"/>
      <c r="F156" s="56"/>
      <c r="G156" s="56"/>
      <c r="H156" s="56"/>
      <c r="I156" s="243"/>
      <c r="J156" s="243"/>
      <c r="K156" s="243"/>
      <c r="L156" s="243"/>
      <c r="M156" s="244"/>
      <c r="N156" s="56"/>
      <c r="O156" s="56"/>
      <c r="P156" s="56"/>
    </row>
    <row r="157" spans="1:16" ht="12.75">
      <c r="A157" s="56"/>
      <c r="B157" s="56"/>
      <c r="C157" s="56"/>
      <c r="D157" s="56"/>
      <c r="E157" s="56"/>
      <c r="F157" s="56"/>
      <c r="G157" s="56"/>
      <c r="H157" s="56"/>
      <c r="I157" s="243"/>
      <c r="J157" s="243"/>
      <c r="K157" s="243"/>
      <c r="L157" s="243"/>
      <c r="M157" s="244"/>
      <c r="N157" s="56"/>
      <c r="O157" s="56"/>
      <c r="P157" s="56"/>
    </row>
    <row r="158" spans="1:16" ht="12.75">
      <c r="A158" s="56"/>
      <c r="B158" s="56"/>
      <c r="C158" s="56"/>
      <c r="D158" s="56"/>
      <c r="E158" s="56"/>
      <c r="F158" s="56"/>
      <c r="G158" s="56"/>
      <c r="H158" s="56"/>
      <c r="I158" s="243"/>
      <c r="J158" s="243"/>
      <c r="K158" s="243"/>
      <c r="L158" s="243"/>
      <c r="M158" s="244"/>
      <c r="N158" s="56"/>
      <c r="O158" s="56"/>
      <c r="P158" s="56"/>
    </row>
    <row r="159" spans="1:16" ht="12.75">
      <c r="A159" s="56"/>
      <c r="B159" s="56"/>
      <c r="C159" s="56"/>
      <c r="D159" s="56"/>
      <c r="E159" s="56"/>
      <c r="F159" s="56"/>
      <c r="G159" s="56"/>
      <c r="H159" s="56"/>
      <c r="I159" s="243"/>
      <c r="J159" s="243"/>
      <c r="K159" s="243"/>
      <c r="L159" s="243"/>
      <c r="M159" s="244"/>
      <c r="N159" s="56"/>
      <c r="O159" s="56"/>
      <c r="P159" s="56"/>
    </row>
    <row r="160" spans="1:16" ht="12.75">
      <c r="A160" s="56"/>
      <c r="B160" s="56"/>
      <c r="C160" s="56"/>
      <c r="D160" s="56"/>
      <c r="E160" s="56"/>
      <c r="F160" s="56"/>
      <c r="G160" s="56"/>
      <c r="H160" s="56"/>
      <c r="I160" s="243"/>
      <c r="J160" s="243"/>
      <c r="K160" s="243"/>
      <c r="L160" s="243"/>
      <c r="M160" s="244"/>
      <c r="N160" s="56"/>
      <c r="O160" s="56"/>
      <c r="P160" s="56"/>
    </row>
    <row r="161" spans="1:16" ht="12.75">
      <c r="A161" s="56"/>
      <c r="B161" s="56"/>
      <c r="C161" s="56"/>
      <c r="D161" s="56"/>
      <c r="E161" s="56"/>
      <c r="F161" s="56"/>
      <c r="G161" s="56"/>
      <c r="H161" s="56"/>
      <c r="I161" s="243"/>
      <c r="J161" s="243"/>
      <c r="K161" s="243"/>
      <c r="L161" s="243"/>
      <c r="M161" s="244"/>
      <c r="N161" s="56"/>
      <c r="O161" s="56"/>
      <c r="P161" s="56"/>
    </row>
    <row r="162" spans="1:16" ht="12.75">
      <c r="A162" s="56"/>
      <c r="B162" s="56"/>
      <c r="C162" s="56"/>
      <c r="D162" s="56"/>
      <c r="E162" s="56"/>
      <c r="F162" s="56"/>
      <c r="G162" s="56"/>
      <c r="H162" s="56"/>
      <c r="I162" s="243"/>
      <c r="J162" s="243"/>
      <c r="K162" s="243"/>
      <c r="L162" s="243"/>
      <c r="M162" s="244"/>
      <c r="N162" s="56"/>
      <c r="O162" s="56"/>
      <c r="P162" s="56"/>
    </row>
    <row r="163" spans="1:16" ht="12.75">
      <c r="A163" s="56"/>
      <c r="B163" s="56"/>
      <c r="C163" s="56"/>
      <c r="D163" s="56"/>
      <c r="E163" s="56"/>
      <c r="F163" s="56"/>
      <c r="G163" s="56"/>
      <c r="H163" s="56"/>
      <c r="I163" s="243"/>
      <c r="J163" s="243"/>
      <c r="K163" s="243"/>
      <c r="L163" s="243"/>
      <c r="M163" s="244"/>
      <c r="N163" s="56"/>
      <c r="O163" s="56"/>
      <c r="P163" s="56"/>
    </row>
    <row r="164" spans="1:16" ht="12.75">
      <c r="A164" s="56"/>
      <c r="B164" s="56"/>
      <c r="C164" s="56"/>
      <c r="D164" s="56"/>
      <c r="E164" s="56"/>
      <c r="F164" s="56"/>
      <c r="G164" s="56"/>
      <c r="H164" s="56"/>
      <c r="I164" s="243"/>
      <c r="J164" s="243"/>
      <c r="K164" s="243"/>
      <c r="L164" s="243"/>
      <c r="M164" s="244"/>
      <c r="N164" s="56"/>
      <c r="O164" s="56"/>
      <c r="P164" s="56"/>
    </row>
    <row r="165" spans="1:16" ht="12.75">
      <c r="A165" s="56"/>
      <c r="B165" s="56"/>
      <c r="C165" s="56"/>
      <c r="D165" s="56"/>
      <c r="E165" s="56"/>
      <c r="F165" s="56"/>
      <c r="G165" s="56"/>
      <c r="H165" s="56"/>
      <c r="I165" s="243"/>
      <c r="J165" s="243"/>
      <c r="K165" s="243"/>
      <c r="L165" s="243"/>
      <c r="M165" s="244"/>
      <c r="N165" s="56"/>
      <c r="O165" s="56"/>
      <c r="P165" s="56"/>
    </row>
    <row r="166" spans="1:16" ht="12.75">
      <c r="A166" s="56"/>
      <c r="B166" s="56"/>
      <c r="C166" s="56"/>
      <c r="D166" s="56"/>
      <c r="E166" s="56"/>
      <c r="F166" s="56"/>
      <c r="G166" s="56"/>
      <c r="H166" s="56"/>
      <c r="I166" s="243"/>
      <c r="J166" s="243"/>
      <c r="K166" s="243"/>
      <c r="L166" s="243"/>
      <c r="M166" s="244"/>
      <c r="N166" s="56"/>
      <c r="O166" s="56"/>
      <c r="P166" s="56"/>
    </row>
    <row r="167" spans="1:16" ht="12.75">
      <c r="A167" s="56"/>
      <c r="B167" s="56"/>
      <c r="C167" s="56"/>
      <c r="D167" s="56"/>
      <c r="E167" s="56"/>
      <c r="F167" s="56"/>
      <c r="G167" s="56"/>
      <c r="H167" s="56"/>
      <c r="I167" s="243"/>
      <c r="J167" s="243"/>
      <c r="K167" s="243"/>
      <c r="L167" s="243"/>
      <c r="M167" s="244"/>
      <c r="N167" s="56"/>
      <c r="O167" s="56"/>
      <c r="P167" s="56"/>
    </row>
    <row r="168" spans="1:16" ht="12.75">
      <c r="A168" s="56"/>
      <c r="B168" s="56"/>
      <c r="C168" s="56"/>
      <c r="D168" s="56"/>
      <c r="E168" s="56"/>
      <c r="F168" s="56"/>
      <c r="G168" s="56"/>
      <c r="H168" s="56"/>
      <c r="I168" s="243"/>
      <c r="J168" s="243"/>
      <c r="K168" s="243"/>
      <c r="L168" s="243"/>
      <c r="M168" s="244"/>
      <c r="N168" s="56"/>
      <c r="O168" s="56"/>
      <c r="P168" s="56"/>
    </row>
    <row r="169" spans="1:16" ht="12.75">
      <c r="A169" s="56"/>
      <c r="B169" s="56"/>
      <c r="C169" s="56"/>
      <c r="D169" s="56"/>
      <c r="E169" s="56"/>
      <c r="F169" s="56"/>
      <c r="G169" s="56"/>
      <c r="H169" s="56"/>
      <c r="I169" s="243"/>
      <c r="J169" s="243"/>
      <c r="K169" s="243"/>
      <c r="L169" s="243"/>
      <c r="M169" s="244"/>
      <c r="N169" s="56"/>
      <c r="O169" s="56"/>
      <c r="P169" s="56"/>
    </row>
    <row r="170" spans="1:16" ht="12.75">
      <c r="A170" s="56"/>
      <c r="B170" s="56"/>
      <c r="C170" s="56"/>
      <c r="D170" s="56"/>
      <c r="E170" s="56"/>
      <c r="F170" s="56"/>
      <c r="G170" s="56"/>
      <c r="H170" s="56"/>
      <c r="I170" s="243"/>
      <c r="J170" s="243"/>
      <c r="K170" s="243"/>
      <c r="L170" s="243"/>
      <c r="M170" s="244"/>
      <c r="N170" s="56"/>
      <c r="O170" s="56"/>
      <c r="P170" s="56"/>
    </row>
    <row r="171" spans="1:16" ht="12.75">
      <c r="A171" s="56"/>
      <c r="B171" s="56"/>
      <c r="C171" s="56"/>
      <c r="D171" s="56"/>
      <c r="E171" s="56"/>
      <c r="F171" s="56"/>
      <c r="G171" s="56"/>
      <c r="H171" s="56"/>
      <c r="I171" s="243"/>
      <c r="J171" s="243"/>
      <c r="K171" s="243"/>
      <c r="L171" s="243"/>
      <c r="M171" s="244"/>
      <c r="N171" s="56"/>
      <c r="O171" s="56"/>
      <c r="P171" s="56"/>
    </row>
    <row r="172" spans="1:16" ht="12.75">
      <c r="A172" s="56"/>
      <c r="B172" s="56"/>
      <c r="C172" s="56"/>
      <c r="D172" s="56"/>
      <c r="E172" s="56"/>
      <c r="F172" s="56"/>
      <c r="G172" s="56"/>
      <c r="H172" s="56"/>
      <c r="I172" s="243"/>
      <c r="J172" s="243"/>
      <c r="K172" s="243"/>
      <c r="L172" s="243"/>
      <c r="M172" s="244"/>
      <c r="N172" s="56"/>
      <c r="O172" s="56"/>
      <c r="P172" s="56"/>
    </row>
    <row r="173" spans="1:16" ht="12.75">
      <c r="A173" s="56"/>
      <c r="B173" s="56"/>
      <c r="C173" s="56"/>
      <c r="D173" s="56"/>
      <c r="E173" s="56"/>
      <c r="F173" s="56"/>
      <c r="G173" s="56"/>
      <c r="H173" s="56"/>
      <c r="I173" s="243"/>
      <c r="J173" s="243"/>
      <c r="K173" s="243"/>
      <c r="L173" s="243"/>
      <c r="M173" s="244"/>
      <c r="N173" s="56"/>
      <c r="O173" s="56"/>
      <c r="P173" s="56"/>
    </row>
    <row r="174" spans="1:16" ht="12.75">
      <c r="A174" s="56"/>
      <c r="B174" s="56"/>
      <c r="C174" s="56"/>
      <c r="D174" s="56"/>
      <c r="E174" s="56"/>
      <c r="F174" s="56"/>
      <c r="G174" s="56"/>
      <c r="H174" s="56"/>
      <c r="I174" s="243"/>
      <c r="J174" s="243"/>
      <c r="K174" s="243"/>
      <c r="L174" s="243"/>
      <c r="M174" s="244"/>
      <c r="N174" s="56"/>
      <c r="O174" s="56"/>
      <c r="P174" s="56"/>
    </row>
    <row r="175" spans="1:16" ht="12.75">
      <c r="A175" s="56"/>
      <c r="B175" s="56"/>
      <c r="C175" s="56"/>
      <c r="D175" s="56"/>
      <c r="E175" s="56"/>
      <c r="F175" s="56"/>
      <c r="G175" s="56"/>
      <c r="H175" s="56"/>
      <c r="I175" s="243"/>
      <c r="J175" s="243"/>
      <c r="K175" s="243"/>
      <c r="L175" s="243"/>
      <c r="M175" s="244"/>
      <c r="N175" s="56"/>
      <c r="O175" s="56"/>
      <c r="P175" s="56"/>
    </row>
    <row r="176" spans="1:16" ht="12.75">
      <c r="A176" s="56"/>
      <c r="B176" s="56"/>
      <c r="C176" s="56"/>
      <c r="D176" s="56"/>
      <c r="E176" s="56"/>
      <c r="F176" s="56"/>
      <c r="G176" s="56"/>
      <c r="H176" s="56"/>
      <c r="I176" s="243"/>
      <c r="J176" s="243"/>
      <c r="K176" s="243"/>
      <c r="L176" s="243"/>
      <c r="M176" s="244"/>
      <c r="N176" s="56"/>
      <c r="O176" s="56"/>
      <c r="P176" s="56"/>
    </row>
    <row r="177" spans="1:16" ht="12.75">
      <c r="A177" s="56"/>
      <c r="B177" s="56"/>
      <c r="C177" s="56"/>
      <c r="D177" s="56"/>
      <c r="E177" s="56"/>
      <c r="F177" s="56"/>
      <c r="G177" s="56"/>
      <c r="H177" s="56"/>
      <c r="I177" s="243"/>
      <c r="J177" s="243"/>
      <c r="K177" s="243"/>
      <c r="L177" s="243"/>
      <c r="M177" s="244"/>
      <c r="N177" s="56"/>
      <c r="O177" s="56"/>
      <c r="P177" s="56"/>
    </row>
    <row r="178" spans="1:16" ht="12.75">
      <c r="A178" s="56"/>
      <c r="B178" s="56"/>
      <c r="C178" s="56"/>
      <c r="D178" s="56"/>
      <c r="E178" s="56"/>
      <c r="F178" s="56"/>
      <c r="G178" s="56"/>
      <c r="H178" s="56"/>
      <c r="I178" s="243"/>
      <c r="J178" s="243"/>
      <c r="K178" s="243"/>
      <c r="L178" s="243"/>
      <c r="M178" s="244"/>
      <c r="N178" s="56"/>
      <c r="O178" s="56"/>
      <c r="P178" s="56"/>
    </row>
    <row r="179" spans="1:16" ht="12.75">
      <c r="A179" s="56"/>
      <c r="B179" s="56"/>
      <c r="C179" s="56"/>
      <c r="D179" s="56"/>
      <c r="E179" s="56"/>
      <c r="F179" s="56"/>
      <c r="G179" s="56"/>
      <c r="H179" s="56"/>
      <c r="I179" s="243"/>
      <c r="J179" s="243"/>
      <c r="K179" s="243"/>
      <c r="L179" s="243"/>
      <c r="M179" s="244"/>
      <c r="N179" s="56"/>
      <c r="O179" s="56"/>
      <c r="P179" s="56"/>
    </row>
    <row r="180" spans="1:16" ht="12.75">
      <c r="A180" s="56"/>
      <c r="B180" s="56"/>
      <c r="C180" s="56"/>
      <c r="D180" s="56"/>
      <c r="E180" s="56"/>
      <c r="F180" s="56"/>
      <c r="G180" s="56"/>
      <c r="H180" s="56"/>
      <c r="I180" s="243"/>
      <c r="J180" s="243"/>
      <c r="K180" s="243"/>
      <c r="L180" s="243"/>
      <c r="M180" s="244"/>
      <c r="N180" s="56"/>
      <c r="O180" s="56"/>
      <c r="P180" s="56"/>
    </row>
    <row r="181" spans="1:16" ht="12.75">
      <c r="A181" s="56"/>
      <c r="B181" s="56"/>
      <c r="C181" s="56"/>
      <c r="D181" s="56"/>
      <c r="E181" s="56"/>
      <c r="F181" s="56"/>
      <c r="G181" s="56"/>
      <c r="H181" s="56"/>
      <c r="I181" s="243"/>
      <c r="J181" s="243"/>
      <c r="K181" s="243"/>
      <c r="L181" s="243"/>
      <c r="M181" s="244"/>
      <c r="N181" s="56"/>
      <c r="O181" s="56"/>
      <c r="P181" s="56"/>
    </row>
    <row r="182" spans="1:16" ht="12.75">
      <c r="A182" s="56"/>
      <c r="B182" s="56"/>
      <c r="C182" s="56"/>
      <c r="D182" s="56"/>
      <c r="E182" s="56"/>
      <c r="F182" s="56"/>
      <c r="G182" s="56"/>
      <c r="H182" s="56"/>
      <c r="I182" s="243"/>
      <c r="J182" s="243"/>
      <c r="K182" s="243"/>
      <c r="L182" s="243"/>
      <c r="M182" s="244"/>
      <c r="N182" s="56"/>
      <c r="O182" s="56"/>
      <c r="P182" s="56"/>
    </row>
    <row r="183" spans="1:16" ht="12.75">
      <c r="A183" s="56"/>
      <c r="B183" s="56"/>
      <c r="C183" s="56"/>
      <c r="D183" s="56"/>
      <c r="E183" s="56"/>
      <c r="F183" s="56"/>
      <c r="G183" s="56"/>
      <c r="H183" s="56"/>
      <c r="I183" s="243"/>
      <c r="J183" s="243"/>
      <c r="K183" s="243"/>
      <c r="L183" s="243"/>
      <c r="M183" s="244"/>
      <c r="N183" s="56"/>
      <c r="O183" s="56"/>
      <c r="P183" s="56"/>
    </row>
    <row r="184" spans="1:16" ht="12.75">
      <c r="A184" s="56"/>
      <c r="B184" s="56"/>
      <c r="C184" s="56"/>
      <c r="D184" s="56"/>
      <c r="E184" s="56"/>
      <c r="F184" s="56"/>
      <c r="G184" s="56"/>
      <c r="H184" s="56"/>
      <c r="I184" s="243"/>
      <c r="J184" s="243"/>
      <c r="K184" s="243"/>
      <c r="L184" s="243"/>
      <c r="M184" s="244"/>
      <c r="N184" s="56"/>
      <c r="O184" s="56"/>
      <c r="P184" s="56"/>
    </row>
    <row r="185" spans="1:16" ht="12.75">
      <c r="A185" s="56"/>
      <c r="B185" s="56"/>
      <c r="C185" s="56"/>
      <c r="D185" s="56"/>
      <c r="E185" s="56"/>
      <c r="F185" s="56"/>
      <c r="G185" s="56"/>
      <c r="H185" s="56"/>
      <c r="I185" s="243"/>
      <c r="J185" s="243"/>
      <c r="K185" s="243"/>
      <c r="L185" s="243"/>
      <c r="M185" s="244"/>
      <c r="N185" s="56"/>
      <c r="O185" s="56"/>
      <c r="P185" s="56"/>
    </row>
    <row r="186" spans="1:16" ht="12.75">
      <c r="A186" s="56"/>
      <c r="B186" s="56"/>
      <c r="C186" s="56"/>
      <c r="D186" s="56"/>
      <c r="E186" s="56"/>
      <c r="F186" s="56"/>
      <c r="G186" s="56"/>
      <c r="H186" s="56"/>
      <c r="I186" s="243"/>
      <c r="J186" s="243"/>
      <c r="K186" s="243"/>
      <c r="L186" s="243"/>
      <c r="M186" s="244"/>
      <c r="N186" s="56"/>
      <c r="O186" s="56"/>
      <c r="P186" s="56"/>
    </row>
    <row r="187" spans="1:16" ht="12.75">
      <c r="A187" s="56"/>
      <c r="B187" s="56"/>
      <c r="C187" s="56"/>
      <c r="D187" s="56"/>
      <c r="E187" s="56"/>
      <c r="F187" s="56"/>
      <c r="G187" s="56"/>
      <c r="H187" s="56"/>
      <c r="I187" s="243"/>
      <c r="J187" s="243"/>
      <c r="K187" s="243"/>
      <c r="L187" s="243"/>
      <c r="M187" s="244"/>
      <c r="N187" s="56"/>
      <c r="O187" s="56"/>
      <c r="P187" s="56"/>
    </row>
    <row r="188" spans="1:16" ht="12.75">
      <c r="A188" s="56"/>
      <c r="B188" s="56"/>
      <c r="C188" s="56"/>
      <c r="D188" s="56"/>
      <c r="E188" s="56"/>
      <c r="F188" s="56"/>
      <c r="G188" s="56"/>
      <c r="H188" s="56"/>
      <c r="I188" s="243"/>
      <c r="J188" s="243"/>
      <c r="K188" s="243"/>
      <c r="L188" s="243"/>
      <c r="M188" s="244"/>
      <c r="N188" s="56"/>
      <c r="O188" s="56"/>
      <c r="P188" s="56"/>
    </row>
    <row r="189" spans="1:16" ht="12.75">
      <c r="A189" s="56"/>
      <c r="B189" s="56"/>
      <c r="C189" s="56"/>
      <c r="D189" s="56"/>
      <c r="E189" s="56"/>
      <c r="F189" s="56"/>
      <c r="G189" s="56"/>
      <c r="H189" s="56"/>
      <c r="I189" s="243"/>
      <c r="J189" s="243"/>
      <c r="K189" s="243"/>
      <c r="L189" s="243"/>
      <c r="M189" s="244"/>
      <c r="N189" s="56"/>
      <c r="O189" s="56"/>
      <c r="P189" s="56"/>
    </row>
    <row r="190" spans="1:16" ht="12.75">
      <c r="A190" s="56"/>
      <c r="B190" s="56"/>
      <c r="C190" s="56"/>
      <c r="D190" s="56"/>
      <c r="E190" s="56"/>
      <c r="F190" s="56"/>
      <c r="G190" s="56"/>
      <c r="H190" s="56"/>
      <c r="I190" s="243"/>
      <c r="J190" s="243"/>
      <c r="K190" s="243"/>
      <c r="L190" s="243"/>
      <c r="M190" s="244"/>
      <c r="N190" s="56"/>
      <c r="O190" s="56"/>
      <c r="P190" s="56"/>
    </row>
    <row r="191" spans="1:16" ht="12.75">
      <c r="A191" s="56"/>
      <c r="B191" s="56"/>
      <c r="C191" s="56"/>
      <c r="D191" s="56"/>
      <c r="E191" s="56"/>
      <c r="F191" s="56"/>
      <c r="G191" s="56"/>
      <c r="H191" s="56"/>
      <c r="I191" s="243"/>
      <c r="J191" s="243"/>
      <c r="K191" s="243"/>
      <c r="L191" s="243"/>
      <c r="M191" s="244"/>
      <c r="N191" s="56"/>
      <c r="O191" s="56"/>
      <c r="P191" s="56"/>
    </row>
    <row r="192" spans="1:16" ht="12.75">
      <c r="A192" s="56"/>
      <c r="B192" s="56"/>
      <c r="C192" s="56"/>
      <c r="D192" s="56"/>
      <c r="E192" s="56"/>
      <c r="F192" s="56"/>
      <c r="G192" s="56"/>
      <c r="H192" s="56"/>
      <c r="I192" s="243"/>
      <c r="J192" s="243"/>
      <c r="K192" s="243"/>
      <c r="L192" s="243"/>
      <c r="M192" s="244"/>
      <c r="N192" s="56"/>
      <c r="O192" s="56"/>
      <c r="P192" s="56"/>
    </row>
    <row r="193" spans="1:16" ht="12.75">
      <c r="A193" s="56"/>
      <c r="B193" s="56"/>
      <c r="C193" s="56"/>
      <c r="D193" s="56"/>
      <c r="E193" s="56"/>
      <c r="F193" s="56"/>
      <c r="G193" s="56"/>
      <c r="H193" s="56"/>
      <c r="I193" s="243"/>
      <c r="J193" s="243"/>
      <c r="K193" s="243"/>
      <c r="L193" s="243"/>
      <c r="M193" s="244"/>
      <c r="N193" s="56"/>
      <c r="O193" s="56"/>
      <c r="P193" s="56"/>
    </row>
    <row r="194" spans="1:16" ht="12.75">
      <c r="A194" s="56"/>
      <c r="B194" s="56"/>
      <c r="C194" s="56"/>
      <c r="D194" s="56"/>
      <c r="E194" s="56"/>
      <c r="F194" s="56"/>
      <c r="G194" s="56"/>
      <c r="H194" s="56"/>
      <c r="I194" s="243"/>
      <c r="J194" s="243"/>
      <c r="K194" s="243"/>
      <c r="L194" s="243"/>
      <c r="M194" s="244"/>
      <c r="N194" s="56"/>
      <c r="O194" s="56"/>
      <c r="P194" s="56"/>
    </row>
    <row r="195" spans="1:16" ht="12.75">
      <c r="A195" s="56"/>
      <c r="B195" s="56"/>
      <c r="C195" s="56"/>
      <c r="D195" s="56"/>
      <c r="E195" s="56"/>
      <c r="F195" s="56"/>
      <c r="G195" s="56"/>
      <c r="H195" s="56"/>
      <c r="I195" s="243"/>
      <c r="J195" s="243"/>
      <c r="K195" s="243"/>
      <c r="L195" s="243"/>
      <c r="M195" s="244"/>
      <c r="N195" s="56"/>
      <c r="O195" s="56"/>
      <c r="P195" s="56"/>
    </row>
    <row r="196" spans="1:16" ht="12.75">
      <c r="A196" s="56"/>
      <c r="B196" s="56"/>
      <c r="C196" s="56"/>
      <c r="D196" s="56"/>
      <c r="E196" s="56"/>
      <c r="F196" s="56"/>
      <c r="G196" s="56"/>
      <c r="H196" s="56"/>
      <c r="I196" s="243"/>
      <c r="J196" s="243"/>
      <c r="K196" s="243"/>
      <c r="L196" s="243"/>
      <c r="M196" s="244"/>
      <c r="N196" s="56"/>
      <c r="O196" s="56"/>
      <c r="P196" s="56"/>
    </row>
    <row r="197" spans="1:16" ht="12.75">
      <c r="A197" s="56"/>
      <c r="B197" s="56"/>
      <c r="C197" s="56"/>
      <c r="D197" s="56"/>
      <c r="E197" s="56"/>
      <c r="F197" s="56"/>
      <c r="G197" s="56"/>
      <c r="H197" s="56"/>
      <c r="I197" s="243"/>
      <c r="J197" s="243"/>
      <c r="K197" s="243"/>
      <c r="L197" s="243"/>
      <c r="M197" s="244"/>
      <c r="N197" s="56"/>
      <c r="O197" s="56"/>
      <c r="P197" s="56"/>
    </row>
    <row r="198" spans="1:16" ht="12.75">
      <c r="A198" s="56"/>
      <c r="B198" s="56"/>
      <c r="C198" s="56"/>
      <c r="D198" s="56"/>
      <c r="E198" s="56"/>
      <c r="F198" s="56"/>
      <c r="G198" s="56"/>
      <c r="H198" s="56"/>
      <c r="I198" s="243"/>
      <c r="J198" s="243"/>
      <c r="K198" s="243"/>
      <c r="L198" s="243"/>
      <c r="M198" s="244"/>
      <c r="N198" s="56"/>
      <c r="O198" s="56"/>
      <c r="P198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P19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7.7109375" style="0" customWidth="1"/>
    <col min="8" max="13" width="9.7109375" style="0" customWidth="1"/>
    <col min="14" max="14" width="1.1484375" style="0" customWidth="1"/>
    <col min="15" max="15" width="60.421875" style="0" customWidth="1"/>
  </cols>
  <sheetData>
    <row r="1" spans="1:16" ht="12.75">
      <c r="A1" s="56"/>
      <c r="B1" s="56"/>
      <c r="C1" s="56"/>
      <c r="D1" s="56"/>
      <c r="E1" s="56"/>
      <c r="F1" s="56"/>
      <c r="G1" s="56"/>
      <c r="H1" s="56"/>
      <c r="I1" s="243"/>
      <c r="J1" s="243"/>
      <c r="K1" s="243"/>
      <c r="L1" s="243"/>
      <c r="M1" s="244"/>
      <c r="N1" s="56"/>
      <c r="O1" s="56"/>
      <c r="P1" s="56"/>
    </row>
    <row r="2" spans="1:16" ht="15.75">
      <c r="A2" s="56"/>
      <c r="B2" s="47"/>
      <c r="C2" s="247" t="s">
        <v>1211</v>
      </c>
      <c r="D2" s="52"/>
      <c r="E2" s="52"/>
      <c r="F2" s="52"/>
      <c r="G2" s="52"/>
      <c r="H2" s="52"/>
      <c r="I2" s="194"/>
      <c r="J2" s="194"/>
      <c r="K2" s="194"/>
      <c r="L2" s="194"/>
      <c r="M2" s="98"/>
      <c r="N2" s="83"/>
      <c r="O2" s="56"/>
      <c r="P2" s="56"/>
    </row>
    <row r="3" spans="1:16" ht="15.75">
      <c r="A3" s="56"/>
      <c r="B3" s="47"/>
      <c r="C3" s="247"/>
      <c r="D3" s="52"/>
      <c r="E3" s="52"/>
      <c r="F3" s="52"/>
      <c r="G3" s="52"/>
      <c r="H3" s="52"/>
      <c r="I3" s="194"/>
      <c r="J3" s="194"/>
      <c r="K3" s="194"/>
      <c r="L3" s="194"/>
      <c r="M3" s="98"/>
      <c r="N3" s="83"/>
      <c r="O3" s="56"/>
      <c r="P3" s="56"/>
    </row>
    <row r="4" spans="1:16" ht="12.75">
      <c r="A4" s="56"/>
      <c r="B4" s="47"/>
      <c r="C4" s="40" t="s">
        <v>1167</v>
      </c>
      <c r="D4" s="311" t="s">
        <v>1212</v>
      </c>
      <c r="E4" s="230"/>
      <c r="F4" s="231"/>
      <c r="G4" s="52"/>
      <c r="H4" s="52"/>
      <c r="I4" s="194"/>
      <c r="J4" s="194"/>
      <c r="K4" s="194"/>
      <c r="L4" s="194"/>
      <c r="M4" s="98"/>
      <c r="N4" s="83"/>
      <c r="O4" s="56"/>
      <c r="P4" s="56"/>
    </row>
    <row r="5" spans="1:16" ht="12.75">
      <c r="A5" s="56"/>
      <c r="B5" s="47"/>
      <c r="C5" s="52"/>
      <c r="D5" s="52"/>
      <c r="E5" s="52"/>
      <c r="F5" s="52"/>
      <c r="G5" s="52"/>
      <c r="H5" s="52"/>
      <c r="I5" s="194"/>
      <c r="J5" s="194"/>
      <c r="K5" s="194"/>
      <c r="L5" s="194"/>
      <c r="M5" s="98"/>
      <c r="N5" s="83"/>
      <c r="O5" s="56"/>
      <c r="P5" s="56"/>
    </row>
    <row r="6" spans="1:16" ht="12.75">
      <c r="A6" s="56"/>
      <c r="B6" s="47"/>
      <c r="C6" s="183" t="s">
        <v>373</v>
      </c>
      <c r="D6" s="210"/>
      <c r="E6" s="212"/>
      <c r="F6" s="52"/>
      <c r="G6" s="52"/>
      <c r="H6" s="52"/>
      <c r="I6" s="194"/>
      <c r="J6" s="194"/>
      <c r="K6" s="194"/>
      <c r="L6" s="194"/>
      <c r="M6" s="98"/>
      <c r="N6" s="83"/>
      <c r="O6" s="56"/>
      <c r="P6" s="56"/>
    </row>
    <row r="7" spans="1:16" ht="12.75">
      <c r="A7" s="56"/>
      <c r="B7" s="47"/>
      <c r="C7" s="177" t="s">
        <v>903</v>
      </c>
      <c r="D7" s="25">
        <v>12</v>
      </c>
      <c r="E7" s="169"/>
      <c r="F7" s="52"/>
      <c r="G7" s="52"/>
      <c r="H7" s="52"/>
      <c r="I7" s="194"/>
      <c r="J7" s="194"/>
      <c r="K7" s="194"/>
      <c r="L7" s="194"/>
      <c r="M7" s="98"/>
      <c r="N7" s="83"/>
      <c r="O7" s="56"/>
      <c r="P7" s="56"/>
    </row>
    <row r="8" spans="1:16" ht="12.75">
      <c r="A8" s="56"/>
      <c r="B8" s="47"/>
      <c r="C8" s="177" t="s">
        <v>1169</v>
      </c>
      <c r="D8" s="25">
        <v>1</v>
      </c>
      <c r="E8" s="150" t="str">
        <f>IF(D8=0,"No","Yes")</f>
        <v>Yes</v>
      </c>
      <c r="F8" s="52"/>
      <c r="G8" s="52"/>
      <c r="H8" s="52"/>
      <c r="I8" s="194"/>
      <c r="J8" s="194"/>
      <c r="K8" s="194"/>
      <c r="L8" s="194"/>
      <c r="M8" s="98"/>
      <c r="N8" s="83"/>
      <c r="O8" s="56"/>
      <c r="P8" s="56"/>
    </row>
    <row r="9" spans="1:16" ht="12.75">
      <c r="A9" s="56"/>
      <c r="B9" s="47"/>
      <c r="C9" s="177" t="s">
        <v>1170</v>
      </c>
      <c r="D9" s="25">
        <v>7</v>
      </c>
      <c r="E9" s="150">
        <f>IF(D8=1,7,D9)</f>
        <v>7</v>
      </c>
      <c r="F9" s="52"/>
      <c r="G9" s="52"/>
      <c r="H9" s="52"/>
      <c r="I9" s="194"/>
      <c r="J9" s="194"/>
      <c r="K9" s="194"/>
      <c r="L9" s="194"/>
      <c r="M9" s="98"/>
      <c r="N9" s="83"/>
      <c r="O9" s="56"/>
      <c r="P9" s="56"/>
    </row>
    <row r="10" spans="1:16" ht="12.75">
      <c r="A10" s="56"/>
      <c r="B10" s="47"/>
      <c r="C10" s="177" t="s">
        <v>1171</v>
      </c>
      <c r="D10" s="30">
        <f>ROUND((((6*E9)/PI())^(1/3))*0.52,2)</f>
        <v>1.23</v>
      </c>
      <c r="E10" s="170"/>
      <c r="F10" s="195"/>
      <c r="G10" s="195"/>
      <c r="H10" s="195"/>
      <c r="I10" s="194"/>
      <c r="J10" s="194"/>
      <c r="K10" s="194"/>
      <c r="L10" s="194"/>
      <c r="M10" s="98"/>
      <c r="N10" s="83"/>
      <c r="O10" s="56"/>
      <c r="P10" s="56"/>
    </row>
    <row r="11" spans="1:16" ht="12.75">
      <c r="A11" s="56"/>
      <c r="B11" s="47"/>
      <c r="C11" s="177" t="s">
        <v>1172</v>
      </c>
      <c r="D11" s="30">
        <f>ROUND((PI()*(((6*E9)/PI())^(1/3))^2)*1.4,2)</f>
        <v>24.77</v>
      </c>
      <c r="E11" s="170"/>
      <c r="F11" s="195"/>
      <c r="G11" s="195"/>
      <c r="H11" s="52"/>
      <c r="I11" s="194"/>
      <c r="J11" s="194"/>
      <c r="K11" s="194"/>
      <c r="L11" s="194"/>
      <c r="M11" s="98"/>
      <c r="N11" s="83"/>
      <c r="O11" s="56"/>
      <c r="P11" s="56"/>
    </row>
    <row r="12" spans="1:16" ht="12.75">
      <c r="A12" s="56"/>
      <c r="B12" s="47"/>
      <c r="C12" s="179" t="s">
        <v>1173</v>
      </c>
      <c r="D12" s="31">
        <v>0</v>
      </c>
      <c r="E12" s="171"/>
      <c r="F12" s="52"/>
      <c r="G12" s="52"/>
      <c r="H12" s="52"/>
      <c r="I12" s="194"/>
      <c r="J12" s="194"/>
      <c r="K12" s="194"/>
      <c r="L12" s="194"/>
      <c r="M12" s="98"/>
      <c r="N12" s="83"/>
      <c r="O12" s="56"/>
      <c r="P12" s="56"/>
    </row>
    <row r="13" spans="1:16" ht="12.75">
      <c r="A13" s="56"/>
      <c r="B13" s="47"/>
      <c r="C13" s="52"/>
      <c r="D13" s="52"/>
      <c r="E13" s="52"/>
      <c r="F13" s="52"/>
      <c r="G13" s="52"/>
      <c r="H13" s="52"/>
      <c r="I13" s="194"/>
      <c r="J13" s="194"/>
      <c r="K13" s="194"/>
      <c r="L13" s="194"/>
      <c r="M13" s="98"/>
      <c r="N13" s="83"/>
      <c r="O13" s="56"/>
      <c r="P13" s="56"/>
    </row>
    <row r="14" spans="1:16" ht="12.75">
      <c r="A14" s="56"/>
      <c r="B14" s="47"/>
      <c r="C14" s="183" t="s">
        <v>1174</v>
      </c>
      <c r="D14" s="184"/>
      <c r="E14" s="184"/>
      <c r="F14" s="184"/>
      <c r="G14" s="184"/>
      <c r="H14" s="184"/>
      <c r="I14" s="185"/>
      <c r="J14" s="185"/>
      <c r="K14" s="185"/>
      <c r="L14" s="185"/>
      <c r="M14" s="186"/>
      <c r="N14" s="83"/>
      <c r="O14" s="56"/>
      <c r="P14" s="56"/>
    </row>
    <row r="15" spans="1:16" ht="12.75">
      <c r="A15" s="56"/>
      <c r="B15" s="47"/>
      <c r="C15" s="187" t="s">
        <v>1175</v>
      </c>
      <c r="D15" s="188" t="s">
        <v>904</v>
      </c>
      <c r="E15" s="188" t="s">
        <v>1176</v>
      </c>
      <c r="F15" s="188" t="s">
        <v>906</v>
      </c>
      <c r="G15" s="188" t="s">
        <v>907</v>
      </c>
      <c r="H15" s="188" t="s">
        <v>909</v>
      </c>
      <c r="I15" s="189" t="s">
        <v>910</v>
      </c>
      <c r="J15" s="189" t="s">
        <v>911</v>
      </c>
      <c r="K15" s="189" t="s">
        <v>912</v>
      </c>
      <c r="L15" s="189" t="s">
        <v>913</v>
      </c>
      <c r="M15" s="190" t="s">
        <v>1142</v>
      </c>
      <c r="N15" s="83"/>
      <c r="O15" s="56"/>
      <c r="P15" s="56"/>
    </row>
    <row r="16" spans="1:16" ht="12.75">
      <c r="A16" s="56"/>
      <c r="B16" s="47"/>
      <c r="C16" s="177" t="s">
        <v>1213</v>
      </c>
      <c r="D16" s="65">
        <v>1</v>
      </c>
      <c r="E16" s="65">
        <v>0</v>
      </c>
      <c r="F16" s="65">
        <v>0</v>
      </c>
      <c r="G16" s="268"/>
      <c r="H16" s="30" t="str">
        <f>IF(D16=0,"",CONCATENATE(CHOOSE((E16+1),"SR","LR"),CHOOSE((F16+1)," 10kt"," 20kt"," 50kt"," 100kt"," 200kt"," 500kt")))</f>
        <v>SR 10kt</v>
      </c>
      <c r="I16" s="18">
        <f>IF(D16=0,0,CHOOSE((E16+1),VLOOKUP(F16,Tables!$D$327:$Z$332,(D7+1+1)),VLOOKUP(F16,Tables!$D$335:$Z$340,(D7+1+1)))*D16)</f>
        <v>0.16</v>
      </c>
      <c r="J16" s="18">
        <f>I16</f>
        <v>0.16</v>
      </c>
      <c r="K16" s="106"/>
      <c r="L16" s="106"/>
      <c r="M16" s="116">
        <f>IF(D16=0,0,CHOOSE((E16+1),CHOOSE((F16+1),0.6,0.7,0.8,0.9,1.1,1.2),CHOOSE((F16+1),6,7,8,9,11,12))*D16)</f>
        <v>0.6</v>
      </c>
      <c r="N16" s="83"/>
      <c r="O16" s="56"/>
      <c r="P16" s="56"/>
    </row>
    <row r="17" spans="1:16" ht="12.75">
      <c r="A17" s="56"/>
      <c r="B17" s="47"/>
      <c r="C17" s="177" t="s">
        <v>1178</v>
      </c>
      <c r="D17" s="268"/>
      <c r="E17" s="65">
        <v>0</v>
      </c>
      <c r="F17" s="268"/>
      <c r="G17" s="268"/>
      <c r="H17" s="30" t="str">
        <f>CHOOSE((E17+1),"Cmd","Semi","Ind")</f>
        <v>Cmd</v>
      </c>
      <c r="I17" s="18">
        <f>J17</f>
        <v>0.001</v>
      </c>
      <c r="J17" s="18">
        <v>0.001</v>
      </c>
      <c r="K17" s="106"/>
      <c r="L17" s="106"/>
      <c r="M17" s="116">
        <f>0.001</f>
        <v>0.001</v>
      </c>
      <c r="N17" s="83"/>
      <c r="O17" s="56"/>
      <c r="P17" s="56"/>
    </row>
    <row r="18" spans="1:16" ht="12.75">
      <c r="A18" s="56"/>
      <c r="B18" s="47"/>
      <c r="C18" s="175" t="s">
        <v>554</v>
      </c>
      <c r="D18" s="178" t="s">
        <v>904</v>
      </c>
      <c r="E18" s="178" t="s">
        <v>1176</v>
      </c>
      <c r="F18" s="178" t="s">
        <v>906</v>
      </c>
      <c r="G18" s="178" t="s">
        <v>907</v>
      </c>
      <c r="H18" s="178" t="s">
        <v>909</v>
      </c>
      <c r="I18" s="17" t="s">
        <v>910</v>
      </c>
      <c r="J18" s="17" t="s">
        <v>911</v>
      </c>
      <c r="K18" s="17" t="s">
        <v>912</v>
      </c>
      <c r="L18" s="17" t="s">
        <v>913</v>
      </c>
      <c r="M18" s="114" t="s">
        <v>1142</v>
      </c>
      <c r="N18" s="83"/>
      <c r="O18" s="56"/>
      <c r="P18" s="56"/>
    </row>
    <row r="19" spans="1:16" ht="12.75">
      <c r="A19" s="56"/>
      <c r="B19" s="47"/>
      <c r="C19" s="262" t="s">
        <v>976</v>
      </c>
      <c r="D19" s="65">
        <v>0</v>
      </c>
      <c r="E19" s="65">
        <v>0</v>
      </c>
      <c r="F19" s="65">
        <v>0</v>
      </c>
      <c r="G19" s="268"/>
      <c r="H19" s="274">
        <f>IF(D19=0,"",IF(D7&lt;5,"TL Violation",CHOOSE((F19+1),CHOOSE((E19+1),"5km","50km","500km","5,000km","50,000km","500,000km","1,000AU"),IF(C19&lt;6,"TL Violation",CHOOSE((E19+1),"50km","500km","5,000km","50,000km","500,000km","5,000,000km","10,000AU")),IF(C19&lt;7,"TL Violation",CHOOSE((E19+1),"500km","5,000km","50,000km","500,000km","5,000,000km","50,000,000km","100,000AU")))))</f>
      </c>
      <c r="I19" s="19">
        <f>IF(D19=0,0,VLOOKUP(E19,Tables!$D$151:$Z$157,(D7+1+1))*D19)</f>
        <v>0</v>
      </c>
      <c r="J19" s="19">
        <f>I19*2</f>
        <v>0</v>
      </c>
      <c r="K19" s="19">
        <f>L19*1000</f>
        <v>0</v>
      </c>
      <c r="L19" s="19">
        <f>CHOOSE((E19+1),0.000002,0.000017,0.000167,0.001667,0.016667,0.166667,0.2)*D19*0.1</f>
        <v>0</v>
      </c>
      <c r="M19" s="120">
        <f>CHOOSE((E19+1),0.000088,0.000269,0.000833,0.006852,0.034444,0.134444,0.15)*IF(D7&lt;6,3,IF(D7&lt;7,2,1))*D19/3*CHOOSE((F19+1),1,1.5,3)</f>
        <v>0</v>
      </c>
      <c r="N19" s="83"/>
      <c r="O19" s="56"/>
      <c r="P19" s="56"/>
    </row>
    <row r="20" spans="1:16" ht="12.75">
      <c r="A20" s="56"/>
      <c r="B20" s="47"/>
      <c r="C20" s="262" t="s">
        <v>978</v>
      </c>
      <c r="D20" s="65">
        <v>0</v>
      </c>
      <c r="E20" s="65">
        <v>0</v>
      </c>
      <c r="F20" s="65">
        <v>0</v>
      </c>
      <c r="G20" s="268"/>
      <c r="H20" s="274">
        <f>IF(D20=0,"",IF(D7&lt;5,"TL Violation",CHOOSE((E20+1),"5km","50km","500km","5,000km","50,000km","500,000km","1,000AU")))</f>
      </c>
      <c r="I20" s="19">
        <f>IF(D20=0,0,VLOOKUP(E20,Tables!$D$151:$Z$157,(D7+1+1))*D20)</f>
        <v>0</v>
      </c>
      <c r="J20" s="19">
        <f>I20*2</f>
        <v>0</v>
      </c>
      <c r="K20" s="19">
        <f>L20*1000</f>
        <v>0</v>
      </c>
      <c r="L20" s="19">
        <f>CHOOSE((E20+1),0.000002,0.000017,0.000167,0.001667,0.016667,0.166667,0.2)*D20</f>
        <v>0</v>
      </c>
      <c r="M20" s="120">
        <f>CHOOSE((E20+1),0.000088,0.000269,0.000833,0.006852,0.034444,0.134444,0.15)*IF(D7&lt;6,3,IF(D7&lt;7,2,1))*D20*CHOOSE((F20+1),1,1.5,3)</f>
        <v>0</v>
      </c>
      <c r="N20" s="83"/>
      <c r="O20" s="56"/>
      <c r="P20" s="56"/>
    </row>
    <row r="21" spans="1:16" ht="12.75">
      <c r="A21" s="56"/>
      <c r="B21" s="47"/>
      <c r="C21" s="262" t="s">
        <v>980</v>
      </c>
      <c r="D21" s="65">
        <v>1</v>
      </c>
      <c r="E21" s="65">
        <v>5</v>
      </c>
      <c r="F21" s="268"/>
      <c r="G21" s="268"/>
      <c r="H21" s="274" t="str">
        <f>IF(D21=0,"",IF(D7&lt;8,"TL Violation",CHOOSE((E21+1),"5km","50km","500km","5,000km","50,000km","500,000km","1,000AU")))</f>
        <v>500,000km</v>
      </c>
      <c r="I21" s="19">
        <f>IF(D21=0,0,VLOOKUP(E21,Tables!$D$160:$Z$166,(D7+1+1))*D21)</f>
        <v>0.035</v>
      </c>
      <c r="J21" s="19">
        <f>I21*2</f>
        <v>0.07</v>
      </c>
      <c r="K21" s="19">
        <f>D21</f>
        <v>1</v>
      </c>
      <c r="L21" s="19">
        <f>CHOOSE((E21+1),0.000054,0.000107,0.000215,0.00043,0.000852,0.002019,0.003)*D21</f>
        <v>0.002019</v>
      </c>
      <c r="M21" s="120">
        <f>CHOOSE((E21+1),0.001,0.005,0.012,0.022,0.037,0.071,0.18)*D21</f>
        <v>0.071</v>
      </c>
      <c r="N21" s="83"/>
      <c r="O21" s="56"/>
      <c r="P21" s="56"/>
    </row>
    <row r="22" spans="1:16" ht="12.75">
      <c r="A22" s="56"/>
      <c r="B22" s="47"/>
      <c r="C22" s="262" t="s">
        <v>982</v>
      </c>
      <c r="D22" s="65">
        <v>0</v>
      </c>
      <c r="E22" s="65">
        <v>0</v>
      </c>
      <c r="F22" s="268"/>
      <c r="G22" s="268"/>
      <c r="H22" s="274">
        <f>IF(D22=0,"",IF(D7&lt;15,"TL Violation",CHOOSE((E22+1),"500km","5,000km","50,000km","500,000km","1,000AU")))</f>
      </c>
      <c r="I22" s="19">
        <f>IF(D22=0,0,VLOOKUP(E22,Tables!$D$169:$Z$173,(D7+1+1))*D22)</f>
        <v>0</v>
      </c>
      <c r="J22" s="19">
        <f>I22*2</f>
        <v>0</v>
      </c>
      <c r="K22" s="19">
        <f>IF(D22=0,0,MAX(L22*10,1))</f>
        <v>0</v>
      </c>
      <c r="L22" s="19">
        <f>CHOOSE((E22+1),0.06,0.26,1.15,4.48,5)*D22</f>
        <v>0</v>
      </c>
      <c r="M22" s="120">
        <f>CHOOSE((E22+1),0.31,1.11,2.69,6.85,20)*D22</f>
        <v>0</v>
      </c>
      <c r="N22" s="83"/>
      <c r="O22" s="56"/>
      <c r="P22" s="56"/>
    </row>
    <row r="23" spans="1:16" ht="12.75">
      <c r="A23" s="56"/>
      <c r="B23" s="47"/>
      <c r="C23" s="262" t="s">
        <v>985</v>
      </c>
      <c r="D23" s="65">
        <v>0</v>
      </c>
      <c r="E23" s="65">
        <v>0</v>
      </c>
      <c r="F23" s="65">
        <v>0</v>
      </c>
      <c r="G23" s="65">
        <v>0</v>
      </c>
      <c r="H23" s="274" t="str">
        <f>IF(D23=0," ",CHOOSE((E23+1),12.5,13,13.5,14,14.5,15,15.5,16))</f>
        <v> </v>
      </c>
      <c r="I23" s="19">
        <f>IF(D23=0,0,CHOOSE((D7+1),0,0,0,0,0,0,0,0,4,4,2,2,1,1,1,1,1,1,1,1,1,1)*VLOOKUP(E23,Tables!$D$176:$Z$183,((D7+1)+1))*IF(G23&gt;0,2,1)*IF(F23&gt;0,1.2,1))</f>
        <v>0</v>
      </c>
      <c r="J23" s="19">
        <f>I23</f>
        <v>0</v>
      </c>
      <c r="K23" s="19">
        <f>IF(D23=0,0,IF(G23=1,0,VLOOKUP(E23,Tables!$D$176:$Z$183,(D7+1+1))))</f>
        <v>0</v>
      </c>
      <c r="L23" s="19">
        <f>IF(D23=0,0,IF(C23&lt;10,0.01,0.001)*VLOOKUP(E23,Tables!$D$176:$Z$183,(D7+1+1)))</f>
        <v>0</v>
      </c>
      <c r="M23" s="120">
        <f>IF(D23=0,0,IF(C23&lt;10,4,5)*VLOOKUP(E23,Tables!$D$176:$Z$183,(D7+1+1))*IF(F23&gt;0,2,1))</f>
        <v>0</v>
      </c>
      <c r="N23" s="83"/>
      <c r="O23" s="56"/>
      <c r="P23" s="56"/>
    </row>
    <row r="24" spans="1:16" ht="12.75">
      <c r="A24" s="56"/>
      <c r="B24" s="47"/>
      <c r="C24" s="262" t="s">
        <v>987</v>
      </c>
      <c r="D24" s="65">
        <v>0</v>
      </c>
      <c r="E24" s="65">
        <v>0</v>
      </c>
      <c r="F24" s="65">
        <v>0</v>
      </c>
      <c r="G24" s="65">
        <v>0</v>
      </c>
      <c r="H24" s="274" t="str">
        <f>IF(D24=0," ",CHOOSE((E24+1),12.5,13,13.5,14,14.5,15,15.5,16))</f>
        <v> </v>
      </c>
      <c r="I24" s="19">
        <f>IF(D24=0,0,CHOOSE((D7+1),0,0,0,0,0,0,0,0,4,4,2,2,1,1,1,1,1,1,1,1,1,1)*VLOOKUP(E24,Tables!$D$186:$Z$193,(D7+1+1)))*IF(G24&gt;0,2,1)*IF(F24&gt;0,1.2,1)*IF(E8165&gt;0,1.1,1)</f>
        <v>0</v>
      </c>
      <c r="J24" s="19">
        <f>I24</f>
        <v>0</v>
      </c>
      <c r="K24" s="19">
        <f>IF(D24=0,0,IF(G24=1,0,VLOOKUP(E24,Tables!$D$186:$Z$193,(D7+1+1))))*IF(E8165&gt;0,1.25,1)</f>
        <v>0</v>
      </c>
      <c r="L24" s="19">
        <f>IF(D24=0,0,IF(D7&lt;10,0.01,0.001)*VLOOKUP(E24,Tables!$D$186:$Z$193,(D7+1+1)))</f>
        <v>0</v>
      </c>
      <c r="M24" s="120">
        <f>IF(D24=0,0,IF(D7&lt;10,4,5)*VLOOKUP(E24,Tables!$D$186:$Z$193,(D7+1+1))*IF(F24&gt;0,2,1))</f>
        <v>0</v>
      </c>
      <c r="N24" s="83"/>
      <c r="O24" s="56"/>
      <c r="P24" s="56"/>
    </row>
    <row r="25" spans="1:16" ht="12.75">
      <c r="A25" s="56"/>
      <c r="B25" s="47"/>
      <c r="C25" s="262" t="s">
        <v>989</v>
      </c>
      <c r="D25" s="65">
        <v>0</v>
      </c>
      <c r="E25" s="65">
        <v>0</v>
      </c>
      <c r="F25" s="65">
        <v>0</v>
      </c>
      <c r="G25" s="65">
        <v>0</v>
      </c>
      <c r="H25" s="274" t="str">
        <f>IF(D25=0," ",CHOOSE((E25+1),12.5,13,13.5,14,14.5,15,15.5,16))</f>
        <v> </v>
      </c>
      <c r="I25" s="19">
        <f>IF(D25=0,0,CHOOSE((D7+1),0,0,0,0,0,0,0,0,4,4,2,2,1,1,1,1,1,1,1,1,1,1)*VLOOKUP(E25,Tables!$D$196:$Z$203,(D7+1+1)))*IF(G25&gt;0,2,1)*IF(F25&gt;0,1.2,1)</f>
        <v>0</v>
      </c>
      <c r="J25" s="19">
        <f>I25</f>
        <v>0</v>
      </c>
      <c r="K25" s="19">
        <f>IF(D25=0,0,IF(G25=1,0,VLOOKUP(E25,Tables!$D$196:$Z$203,(D7+1+1))))</f>
        <v>0</v>
      </c>
      <c r="L25" s="19">
        <f>IF(D25=0,0,IF(D7&lt;10,0.01,0.001)*VLOOKUP(E25,Tables!$D$196:$Z$203,(D7+1+1)))</f>
        <v>0</v>
      </c>
      <c r="M25" s="120">
        <f>IF(D25=0,0,IF(D7&lt;10,4,5)*VLOOKUP(E25,Tables!$D$196:$Z$203,(D7+1+1))*IF(F25&gt;0,2,1))</f>
        <v>0</v>
      </c>
      <c r="N25" s="83"/>
      <c r="O25" s="56"/>
      <c r="P25" s="56"/>
    </row>
    <row r="26" spans="1:16" ht="12.75">
      <c r="A26" s="56"/>
      <c r="B26" s="47"/>
      <c r="C26" s="262" t="s">
        <v>991</v>
      </c>
      <c r="D26" s="65">
        <v>0</v>
      </c>
      <c r="E26" s="65">
        <v>0</v>
      </c>
      <c r="F26" s="65">
        <v>0</v>
      </c>
      <c r="G26" s="65">
        <v>0</v>
      </c>
      <c r="H26" s="274" t="str">
        <f>IF(D26=0," ",CHOOSE((E26+1),4,5,6,7,8,9,10,11,11.5,12,12.5,13,13.5,14,14.5))</f>
        <v> </v>
      </c>
      <c r="I26" s="19">
        <f>IF(D26=0,0,VLOOKUP(E26,Tables!$D$206:$Z$220,(D7+1+1))*5)*IF(F26&gt;0,1.2,1)*IF(G26&gt;0,2,1)</f>
        <v>0</v>
      </c>
      <c r="J26" s="19">
        <f>I26*2</f>
        <v>0</v>
      </c>
      <c r="K26" s="19">
        <f>IF(D26=0,0,IF(G26=1,0,VLOOKUP(E26,Tables!$D$206:$Z$220,(D7+1+1))))</f>
        <v>0</v>
      </c>
      <c r="L26" s="19">
        <f>IF(D26=0,0,IF(C26&lt;9,0.5,1)*VLOOKUP(E26,Tables!$D$206:$Z$220,(D7+1+1)))</f>
        <v>0</v>
      </c>
      <c r="M26" s="120">
        <f>IF(D26=0,0,2)*VLOOKUP(E26,Tables!$D$206:$Z$220,(D7+1+1))*IF(F26&gt;0,2,1)</f>
        <v>0</v>
      </c>
      <c r="N26" s="83"/>
      <c r="O26" s="56"/>
      <c r="P26" s="56"/>
    </row>
    <row r="27" spans="1:16" ht="12.75">
      <c r="A27" s="56"/>
      <c r="B27" s="47"/>
      <c r="C27" s="262" t="s">
        <v>847</v>
      </c>
      <c r="D27" s="65">
        <v>0</v>
      </c>
      <c r="E27" s="65">
        <v>0</v>
      </c>
      <c r="F27" s="65">
        <v>0</v>
      </c>
      <c r="G27" s="65">
        <v>0</v>
      </c>
      <c r="H27" s="274" t="str">
        <f>IF(D27=0," ",CHOOSE((E27+1),13.5,14,14.5,15,15.5))</f>
        <v> </v>
      </c>
      <c r="I27" s="19">
        <f>IF(D27=0,0,VLOOKUP(E27,Tables!$D$223:$Z$227,(D7+1+1))*5)*IF(F27&gt;0,1.2,1)*IF(G27&gt;0,2,1)</f>
        <v>0</v>
      </c>
      <c r="J27" s="19">
        <f>I27*2</f>
        <v>0</v>
      </c>
      <c r="K27" s="19">
        <f>IF(D27=0,0,IF(G27=1,0,VLOOKUP(E27,Tables!$D$223:$Z$227,(D7+1+1))))</f>
        <v>0</v>
      </c>
      <c r="L27" s="19">
        <f>IF(D27=0,0,VLOOKUP(E27,Tables!$D$223:$Z$227,(D7+1+1)))</f>
        <v>0</v>
      </c>
      <c r="M27" s="120">
        <f>IF(D27=0,0,5)*VLOOKUP(E27,Tables!$D$223:$Z$227,(D7+1+1))*IF(F27&gt;0,2,1)</f>
        <v>0</v>
      </c>
      <c r="N27" s="83"/>
      <c r="O27" s="56"/>
      <c r="P27" s="56"/>
    </row>
    <row r="28" spans="1:16" ht="12.75">
      <c r="A28" s="56"/>
      <c r="B28" s="47"/>
      <c r="C28" s="262" t="s">
        <v>852</v>
      </c>
      <c r="D28" s="65">
        <v>0</v>
      </c>
      <c r="E28" s="268"/>
      <c r="F28" s="65">
        <v>0</v>
      </c>
      <c r="G28" s="268"/>
      <c r="H28" s="274" t="str">
        <f>IF(D28=0," ",IF(D7&lt;11,"TL Violation"," "))</f>
        <v> </v>
      </c>
      <c r="I28" s="19">
        <f>IF(D28=0,0,CHOOSE((D7+1),0,0,0,0,0,0,0,0,0,0,0,30,15,12,9,7,4,4,2,2,1,1)*D28)*IF(F28&gt;0,1.2,1)</f>
        <v>0</v>
      </c>
      <c r="J28" s="19">
        <f>IF(D28=0,0,CHOOSE((D7+1),0,0,0,0,0,0,0,0,0,0,0,10,5,3,2,1.5,1,1,0.8,0.8,0.7,0.7)*D28)</f>
        <v>0</v>
      </c>
      <c r="K28" s="19">
        <f>L28*100</f>
        <v>0</v>
      </c>
      <c r="L28" s="19">
        <f>IF(D28=0,0,CHOOSE((D7+1),0,0,0,0,0,0,0,0,0,0,0,2.5,1,0.9,0.5,0.4,0.3,0.3,0.2,0.2,0.1,0.1)*D28)</f>
        <v>0</v>
      </c>
      <c r="M28" s="120">
        <f>IF(D28=0,0,CHOOSE((D7+1),0,0,0,0,0,0,0,0,0,0,0,0.75,0.9,0.95,1,1.5,1.5,1.5,1.5,1.5,1.5,1.5)*D28)*IF(F28&gt;0,2,1)</f>
        <v>0</v>
      </c>
      <c r="N28" s="83"/>
      <c r="O28" s="56"/>
      <c r="P28" s="56"/>
    </row>
    <row r="29" spans="1:16" ht="12.75">
      <c r="A29" s="56"/>
      <c r="B29" s="47"/>
      <c r="C29" s="262" t="s">
        <v>995</v>
      </c>
      <c r="D29" s="65">
        <v>0</v>
      </c>
      <c r="E29" s="268"/>
      <c r="F29" s="65">
        <v>0</v>
      </c>
      <c r="G29" s="268"/>
      <c r="H29" s="274" t="str">
        <f>IF(D29=0," ",IF(D7&lt;10,"TL Violation"," "))</f>
        <v> </v>
      </c>
      <c r="I29" s="19">
        <f>IF(D29=0,0,CHOOSE((D7+1),0,0,0,0,0,0,0,0,0,0,100,100,10,10,5,5,2,2,1,1,1,1)*D29)</f>
        <v>0</v>
      </c>
      <c r="J29" s="19">
        <f>I29</f>
        <v>0</v>
      </c>
      <c r="K29" s="106"/>
      <c r="L29" s="19">
        <f>D29*0.01</f>
        <v>0</v>
      </c>
      <c r="M29" s="120">
        <f>IF(D29=0,0,CHOOSE((D7+1),0,0,0,0,0,0,0,0,0,0,1,1,2,2,3,3,4,4,5,5,5,5)*D29)*IF(F28&gt;0,2,1)</f>
        <v>0</v>
      </c>
      <c r="N29" s="83"/>
      <c r="O29" s="56"/>
      <c r="P29" s="56"/>
    </row>
    <row r="30" spans="1:16" ht="12.75">
      <c r="A30" s="56"/>
      <c r="B30" s="47"/>
      <c r="C30" s="262" t="s">
        <v>997</v>
      </c>
      <c r="D30" s="65">
        <v>0</v>
      </c>
      <c r="E30" s="268"/>
      <c r="F30" s="65">
        <v>0</v>
      </c>
      <c r="G30" s="268"/>
      <c r="H30" s="274" t="str">
        <f>IF(D30=0," ",CHOOSE((D7+1),"TL Violation","TL Violation","TL Violation","TL Violation","TL Violation","TL Violation","TL Violation","TL Violation","TL Violation","TL Violation","TL Violation","TL Violation","TL Violation","0.005km","0.025km","0.05km","0.5km","0.5km","5km","5km","50km","50lm"))</f>
        <v> </v>
      </c>
      <c r="I30" s="19">
        <f>IF(D30=0,0,IF(D7&lt;13,#VALUE!,0.002*D30))*IF(F28&gt;0,1.2,1)</f>
        <v>0</v>
      </c>
      <c r="J30" s="19">
        <f>IF(D30=0,0,CHOOSE((D7+1),0,0,0,0,0,0,0,0,0,0,0,0,0,0.005,0.005,0.005,0.005,0.005,0.004,0.004,0.003,0.003)*D30)</f>
        <v>0</v>
      </c>
      <c r="K30" s="19">
        <f>L30*100</f>
        <v>0</v>
      </c>
      <c r="L30" s="19">
        <f>IF(D30=0,0,CHOOSE((D7+1),0,0,0,0,0,0,0,0,0,0,0,0,0,0.004,0.005,0.006,0.007,0.007,0.009,0.009,0.01,0.01)*D30)</f>
        <v>0</v>
      </c>
      <c r="M30" s="120">
        <f>IF(D30=0,0,CHOOSE((D7+1),0,0,0,0,0,0,0,0,0,0,0,0,0,0.02,0.02,0.02,0.02,0.02,0.025,0.025,0.03,0.03)*D30)*IF(F28&gt;0,2,1)</f>
        <v>0</v>
      </c>
      <c r="N30" s="83"/>
      <c r="O30" s="56"/>
      <c r="P30" s="56"/>
    </row>
    <row r="31" spans="1:16" ht="12.75">
      <c r="A31" s="56"/>
      <c r="B31" s="47"/>
      <c r="C31" s="262" t="s">
        <v>1000</v>
      </c>
      <c r="D31" s="65">
        <v>0</v>
      </c>
      <c r="E31" s="65">
        <v>0</v>
      </c>
      <c r="F31" s="268"/>
      <c r="G31" s="268"/>
      <c r="H31" s="274">
        <f>IF(D31=0,"",IF(D7&lt;5,"TL Violation",CHOOSE((E31+1),"5km","50km","500km","5,000km","50,000km","500,000km","1,000AU")))</f>
      </c>
      <c r="I31" s="19">
        <f>IF(D31=0,0,VLOOKUP(E31,Tables!$D$151:$Z$157,(D7+1+1))*D31)</f>
        <v>0</v>
      </c>
      <c r="J31" s="19">
        <f>I31*2</f>
        <v>0</v>
      </c>
      <c r="K31" s="19">
        <f>L31*1000/20</f>
        <v>0</v>
      </c>
      <c r="L31" s="19">
        <f>CHOOSE((E31+1),0.000002,0.000017,0.000167,0.001667,0.016667,0.166667,0.2)*D31*2</f>
        <v>0</v>
      </c>
      <c r="M31" s="120">
        <f>CHOOSE((E31+1),0.000088,0.000269,0.000833,0.006852,0.034444,0.134444,0.15)*IF(D7&lt;6,3,IF(D7&lt;7,2,1))*D31*2</f>
        <v>0</v>
      </c>
      <c r="N31" s="83"/>
      <c r="O31" s="56"/>
      <c r="P31" s="56"/>
    </row>
    <row r="32" spans="1:16" ht="12.75">
      <c r="A32" s="56"/>
      <c r="B32" s="47"/>
      <c r="C32" s="262" t="s">
        <v>1179</v>
      </c>
      <c r="D32" s="65">
        <v>0</v>
      </c>
      <c r="E32" s="65">
        <v>7</v>
      </c>
      <c r="F32" s="65">
        <v>0</v>
      </c>
      <c r="G32" s="268"/>
      <c r="H32" s="274" t="str">
        <f>IF(D32=0," ",CHOOSE((E32+1),4,5,6,7,8,9,10,11,11.5,12,12.5,13,13.5,14,14.5))</f>
        <v> </v>
      </c>
      <c r="I32" s="19">
        <f>IF(D32=0,0,VLOOKUP(E32,Tables!$D$206:$Z$220,(D7+1+1))*5)*IF(F32&gt;0,2,1)</f>
        <v>0</v>
      </c>
      <c r="J32" s="19">
        <f>I32*2</f>
        <v>0</v>
      </c>
      <c r="K32" s="19">
        <f>IF(D32=0,0,IF(G32=1,0,VLOOKUP(E32,Tables!$D$206:$Z$220,(D7+1+1))))/20</f>
        <v>0</v>
      </c>
      <c r="L32" s="19">
        <f>IF(D32=0,0,IF(D7&lt;9,0.5,1)*VLOOKUP(E32,Tables!$D$206:$Z$220,(D7+1+1)))*2</f>
        <v>0</v>
      </c>
      <c r="M32" s="120">
        <f>IF(D32=0,0,2)*VLOOKUP(E32,Tables!$D$206:$Z$220,(D7+1+1))*2</f>
        <v>0</v>
      </c>
      <c r="N32" s="83"/>
      <c r="O32" s="56"/>
      <c r="P32" s="56"/>
    </row>
    <row r="33" spans="1:16" ht="12.75">
      <c r="A33" s="56"/>
      <c r="B33" s="47"/>
      <c r="C33" s="262" t="s">
        <v>1006</v>
      </c>
      <c r="D33" s="65">
        <v>0</v>
      </c>
      <c r="E33" s="65">
        <v>0</v>
      </c>
      <c r="F33" s="65">
        <v>0</v>
      </c>
      <c r="G33" s="268"/>
      <c r="H33" s="274" t="str">
        <f>IF(D33=0," ",CHOOSE((E33+1),12.5,13,13.5,14,14.5,15,15.5,16))</f>
        <v> </v>
      </c>
      <c r="I33" s="19">
        <f>IF(D33=0,0,CHOOSE((D7+1),0,0,0,0,0,0,0,0,4,4,2,2,1,1,1,1,1,1,1,1,1,1)*VLOOKUP(E33,Tables!$D$196:$Z$203,(D7+1+1)))*IF(F33&gt;0,2,1)</f>
        <v>0</v>
      </c>
      <c r="J33" s="19">
        <f>I33</f>
        <v>0</v>
      </c>
      <c r="K33" s="19">
        <f>IF(D33=0,0,IF(G33=1,0,VLOOKUP(E33,Tables!$D$196:$Z$203,(D7+1+1))))*0.5</f>
        <v>0</v>
      </c>
      <c r="L33" s="19">
        <f>IF(D33=0,0,2*VLOOKUP(E33,Tables!$D$196:$Z$203,(D7+1+1)))</f>
        <v>0</v>
      </c>
      <c r="M33" s="120">
        <f>IF(D33=0,0,IF(C33&lt;10,4,5)*VLOOKUP(E33,Tables!$D$196:$Z$203,(D7+1+1))*5)</f>
        <v>0</v>
      </c>
      <c r="N33" s="83"/>
      <c r="O33" s="56"/>
      <c r="P33" s="56"/>
    </row>
    <row r="34" spans="1:16" ht="12.75">
      <c r="A34" s="56"/>
      <c r="B34" s="47"/>
      <c r="C34" s="262" t="s">
        <v>1180</v>
      </c>
      <c r="D34" s="65">
        <v>0</v>
      </c>
      <c r="E34" s="268"/>
      <c r="F34" s="268"/>
      <c r="G34" s="268"/>
      <c r="H34" s="268"/>
      <c r="I34" s="19">
        <f>D34*0.001*E9</f>
        <v>0</v>
      </c>
      <c r="J34" s="19">
        <f>I34</f>
        <v>0</v>
      </c>
      <c r="K34" s="106"/>
      <c r="L34" s="106"/>
      <c r="M34" s="120">
        <f>I34*0.1</f>
        <v>0</v>
      </c>
      <c r="N34" s="83"/>
      <c r="O34" s="56"/>
      <c r="P34" s="56"/>
    </row>
    <row r="35" spans="1:16" ht="12.75">
      <c r="A35" s="56"/>
      <c r="B35" s="47"/>
      <c r="C35" s="262" t="s">
        <v>876</v>
      </c>
      <c r="D35" s="65">
        <v>0</v>
      </c>
      <c r="E35" s="268"/>
      <c r="F35" s="268"/>
      <c r="G35" s="268"/>
      <c r="H35" s="268"/>
      <c r="I35" s="19">
        <f>D35*0.01*E9</f>
        <v>0</v>
      </c>
      <c r="J35" s="19">
        <f>I35*2</f>
        <v>0</v>
      </c>
      <c r="K35" s="106"/>
      <c r="L35" s="106"/>
      <c r="M35" s="120">
        <f>I35*5</f>
        <v>0</v>
      </c>
      <c r="N35" s="83"/>
      <c r="O35" s="56"/>
      <c r="P35" s="56"/>
    </row>
    <row r="36" spans="1:16" ht="12.75">
      <c r="A36" s="56"/>
      <c r="B36" s="47"/>
      <c r="C36" s="175" t="s">
        <v>1181</v>
      </c>
      <c r="D36" s="178" t="s">
        <v>904</v>
      </c>
      <c r="E36" s="178" t="s">
        <v>1176</v>
      </c>
      <c r="F36" s="178" t="s">
        <v>906</v>
      </c>
      <c r="G36" s="178" t="s">
        <v>907</v>
      </c>
      <c r="H36" s="178" t="s">
        <v>909</v>
      </c>
      <c r="I36" s="17" t="s">
        <v>910</v>
      </c>
      <c r="J36" s="17" t="s">
        <v>911</v>
      </c>
      <c r="K36" s="17" t="s">
        <v>912</v>
      </c>
      <c r="L36" s="17" t="s">
        <v>913</v>
      </c>
      <c r="M36" s="114" t="s">
        <v>1142</v>
      </c>
      <c r="N36" s="83"/>
      <c r="O36" s="56"/>
      <c r="P36" s="56"/>
    </row>
    <row r="37" spans="1:16" ht="12.75">
      <c r="A37" s="56"/>
      <c r="B37" s="47"/>
      <c r="C37" s="262" t="s">
        <v>1182</v>
      </c>
      <c r="D37" s="271"/>
      <c r="E37" s="71">
        <v>3.5</v>
      </c>
      <c r="F37" s="312"/>
      <c r="G37" s="271"/>
      <c r="H37" s="272" t="str">
        <f>IF(E37=0,"",CHOOSE(Mis2TL+1,"","","","","","","","NTR","Adv NTR","GCNTR","AND","AND","AND","AND","AND","AND","AND","AND","AND","AND","AND","AND"))</f>
        <v>AND</v>
      </c>
      <c r="I37" s="99">
        <f>IF(E37=0,0,IF(Mis2TL&lt;7,#VALUE!,Tables!E370/CHOOSE(Mis2TL+1,#VALUE!,#VALUE!,#VALUE!,#VALUE!,#VALUE!,#VALUE!,#VALUE!,80,120,50,1100,1100,1100,1100,1100,1100,1100,1100,1100,1100,1100,1100)))</f>
        <v>0.22272727272727272</v>
      </c>
      <c r="J37" s="99">
        <f>I37</f>
        <v>0.22272727272727272</v>
      </c>
      <c r="K37" s="99">
        <f>0.0005*Tables!E370</f>
        <v>0.1225</v>
      </c>
      <c r="L37" s="109"/>
      <c r="M37" s="121">
        <f>CHOOSE(Mis2TL+1,#VALUE!,#VALUE!,#VALUE!,#VALUE!,#VALUE!,#VALUE!,#VALUE!,8,12,16.67,0.1,0.1,0.1,0.1,0.1,0.1,0.1,0.1,0.1,0.1,0.1,0.1)*I37</f>
        <v>0.022272727272727274</v>
      </c>
      <c r="N37" s="83"/>
      <c r="O37" s="56"/>
      <c r="P37" s="56"/>
    </row>
    <row r="38" spans="1:16" ht="12.75">
      <c r="A38" s="56"/>
      <c r="B38" s="47"/>
      <c r="C38" s="262" t="s">
        <v>1183</v>
      </c>
      <c r="D38" s="268"/>
      <c r="E38" s="65">
        <v>0</v>
      </c>
      <c r="F38" s="268"/>
      <c r="G38" s="268"/>
      <c r="H38" s="272">
        <f>IF(E38=0,"",CHOOSE(Mis2TL+1,"","","","","","","","","Exp. Fusion","Fusion","HEPlaR","HEPlaR","HEPlaR","HEPlaR","HEPlaR","HEPlaR","HEPlaR","HEPlaR","HEPlaR","HEPlaR","HEPlaR","HEPlaR"))</f>
      </c>
      <c r="I38" s="99">
        <f>IF(E38=0,0,IF(Mis2TL&lt;8,#VALUE!,(Tables!E371/CHOOSE(Mis2TL+1,#VALUE!,#VALUE!,#VALUE!,#VALUE!,#VALUE!,#VALUE!,#VALUE!,#VALUE!,30,90,2000,2000,2000,2000,2000,2000,2000,2000,2000,2000,2000,2000,2000))))</f>
        <v>0</v>
      </c>
      <c r="J38" s="99">
        <f>I38</f>
        <v>0</v>
      </c>
      <c r="K38" s="99">
        <f>E38*0.0005*Tables!E371</f>
        <v>0</v>
      </c>
      <c r="L38" s="99">
        <f>Tables!E371*CHOOSE(Mis2TL+1,0,0,0,0,0,0,0,0,0,0,0.005,0.005,0.005,0.005,0.005,0.005,0.005,0.005,0.005,0.005,0.005,0.005)</f>
        <v>0</v>
      </c>
      <c r="M38" s="121">
        <f>I38*CHOOSE(Mis2TL+1,0,0,0,0,0,0,0,0,3.5,0.35,0.01,0.01,0.01,0.01,0.01,0.01,0.01,0.01,0.01,0.01,0.01,0.01)</f>
        <v>0</v>
      </c>
      <c r="N38" s="83"/>
      <c r="O38" s="56"/>
      <c r="P38" s="56"/>
    </row>
    <row r="39" spans="1:16" ht="12.75">
      <c r="A39" s="56"/>
      <c r="B39" s="47"/>
      <c r="C39" s="262" t="s">
        <v>725</v>
      </c>
      <c r="D39" s="268"/>
      <c r="E39" s="268"/>
      <c r="F39" s="268"/>
      <c r="G39" s="268"/>
      <c r="H39" s="272" t="str">
        <f>IF(E38+E37=0,"",CONCATENATE(Tables!E387," G-turns"))</f>
        <v>12 G-turns</v>
      </c>
      <c r="I39" s="99">
        <f>IF(E37+E38=0,0,E9-(SUM(I16:I38)+SUM(I40:I54)))</f>
        <v>6.546072727272727</v>
      </c>
      <c r="J39" s="99">
        <f>IF(E37&gt;0,IF(Mis2TL&lt;10,0.07,1.167)*I39,I39*0.07)</f>
        <v>7.639266872727273</v>
      </c>
      <c r="K39" s="106"/>
      <c r="L39" s="106"/>
      <c r="M39" s="122"/>
      <c r="N39" s="83"/>
      <c r="O39" s="56"/>
      <c r="P39" s="56"/>
    </row>
    <row r="40" spans="1:16" ht="12.75">
      <c r="A40" s="56"/>
      <c r="B40" s="47"/>
      <c r="C40" s="262" t="s">
        <v>1184</v>
      </c>
      <c r="D40" s="268"/>
      <c r="E40" s="65">
        <v>0</v>
      </c>
      <c r="F40" s="268"/>
      <c r="G40" s="268"/>
      <c r="H40" s="268"/>
      <c r="I40" s="99">
        <f>IF(E40=0,0,IF(Mis2TL&lt;11,#VALUE!,Tables!E372/400))</f>
        <v>0</v>
      </c>
      <c r="J40" s="99">
        <f>I40*2</f>
        <v>0</v>
      </c>
      <c r="K40" s="99">
        <f>IF(E40=0,0,IF(D7&lt;11,#VALUE!,0.0001*Tables!E372))</f>
        <v>0</v>
      </c>
      <c r="L40" s="99">
        <f>IF(E40=0,0,IF(D7&lt;11,#VALUE!,0.0025*Tables!E372))</f>
        <v>0</v>
      </c>
      <c r="M40" s="121">
        <f>I40*0.25</f>
        <v>0</v>
      </c>
      <c r="N40" s="83"/>
      <c r="O40" s="56"/>
      <c r="P40" s="56"/>
    </row>
    <row r="41" spans="1:16" ht="12.75">
      <c r="A41" s="56"/>
      <c r="B41" s="47"/>
      <c r="C41" s="262" t="s">
        <v>1185</v>
      </c>
      <c r="D41" s="268"/>
      <c r="E41" s="71">
        <v>0</v>
      </c>
      <c r="F41" s="271"/>
      <c r="G41" s="271"/>
      <c r="H41" s="272" t="str">
        <f>IF(E41=0," ",IF(D7&lt;9,"TL Violation",CONCATENATE(ROUND(Tables!E373/J55/10,1),"G")))</f>
        <v> </v>
      </c>
      <c r="I41" s="68">
        <f>IF(E41=0,0,IF(D7&lt;9,#VALUE!,CHOOSE((D7+1),0,0,0,0,0,0,0,0,0,0.003,0.002,0.002,0.002,0.002,0.002,0.002,0.002,0.002,0.002,0.002,0.002,0.002)*Tables!E373))</f>
        <v>0</v>
      </c>
      <c r="J41" s="68">
        <f>IF(E41=0,0,IF(D7&lt;9,#VALUE!,Tables!E373*CHOOSE((D7+1),0,0,0,0,0,0,0,0,0,0.0038,0.002,0.002,0.0013,0.0013,0.0013,0.0013,0.0013,0.0013,0.0013,0.0013,0.0013,0.0013,0.0013)))</f>
        <v>0</v>
      </c>
      <c r="K41" s="68">
        <f>IF(E41=0,0,IF(D7&lt;9,#VALUE!,Tables!E373*CHOOSE((D7+1),0,0,0,0,0,0,0,0,0,0.0018,0.002,0.002,0.002,0.002,0.002,0.002,0.002,0.002,0.002,0.002,0.002,0.002,0.002)))</f>
        <v>0</v>
      </c>
      <c r="L41" s="68">
        <f>IF(E41=0,0,IF(D7&lt;9,#VALUE!,Tables!E373*CHOOSE((D7+1),0,0,0,0,0,0,0,0,0,0.0018,0.0014,0.0014,0.0017,0.0017,0.0017,0.0017,0.0017,0.0017,0.0017,0.0017,0.0017,0.0017)))</f>
        <v>0</v>
      </c>
      <c r="M41" s="121">
        <f>IF(E41=0,0,IF(D7&lt;9,#VALUE!,Tables!E373*CHOOSE((D7+1),0,0,0,0,0,0,0,0,0,0.000012,0.000016,0.000016,0.00002,0.00002,0.00002,0.00002,0.00002,0.00002,0.00002,0.00002,0.00002,0.00002)))</f>
        <v>0</v>
      </c>
      <c r="N41" s="83"/>
      <c r="O41" s="56"/>
      <c r="P41" s="56"/>
    </row>
    <row r="42" spans="1:16" ht="12.75">
      <c r="A42" s="56"/>
      <c r="B42" s="47"/>
      <c r="C42" s="175" t="s">
        <v>913</v>
      </c>
      <c r="D42" s="178" t="s">
        <v>904</v>
      </c>
      <c r="E42" s="178" t="s">
        <v>1176</v>
      </c>
      <c r="F42" s="178" t="s">
        <v>906</v>
      </c>
      <c r="G42" s="178" t="s">
        <v>907</v>
      </c>
      <c r="H42" s="178" t="s">
        <v>909</v>
      </c>
      <c r="I42" s="17" t="s">
        <v>910</v>
      </c>
      <c r="J42" s="17" t="s">
        <v>911</v>
      </c>
      <c r="K42" s="17" t="s">
        <v>912</v>
      </c>
      <c r="L42" s="17" t="s">
        <v>913</v>
      </c>
      <c r="M42" s="114" t="s">
        <v>1142</v>
      </c>
      <c r="N42" s="83"/>
      <c r="O42" s="56"/>
      <c r="P42" s="56"/>
    </row>
    <row r="43" spans="1:16" ht="12.75">
      <c r="A43" s="56"/>
      <c r="B43" s="47"/>
      <c r="C43" s="262" t="s">
        <v>1012</v>
      </c>
      <c r="D43" s="268"/>
      <c r="E43" s="65">
        <v>0</v>
      </c>
      <c r="F43" s="65">
        <v>0</v>
      </c>
      <c r="G43" s="268"/>
      <c r="H43" s="274" t="str">
        <f>IF(E43=0," ",IF(D7&lt;6,"TL Violation",IF(F43&gt;CHOOSE((D7+1),2,2,2,2,2,2,2,2,2,2,2,2,2,3,3,3,3,3,3,3,3,3),"TL Violation",CONCATENATE(ROUND(Tables!L392,1),"MW"))))</f>
        <v> </v>
      </c>
      <c r="I43" s="19">
        <f>IF(E43=0,0,IF(D7&lt;6,#VALUE!,IF(Tables!K392&gt;Tables!E392*100000,Tables!K392,IF(Tables!J392&gt;Tables!E392*10000,Tables!J392,IF(Tables!I392&gt;Tables!E392*1000,Tables!I392,IF(Tables!H392&gt;Tables!E392*100,Tables!H392,IF(Tables!G392&gt;Tables!E392*10,Tables!G392,IF(Tables!F392&gt;Tables!E392,Tables!F392,Tables!E392))))))))</f>
        <v>0</v>
      </c>
      <c r="J43" s="19">
        <f>I43*CHOOSE((D7+1),0,0,0,0,0,0,10,8,6,6,6,6,6,6,6,6,6,6,6,6,6,6)</f>
        <v>0</v>
      </c>
      <c r="K43" s="19">
        <f>L43*10*CHOOSE((F43+1),1,2,10,20)*IF(F43&gt;CHOOSE((D7+1),2,2,2,2,2,2,2,2,2,2,2,2,2,3,3,3,3,3,3,3,3,3),#VALUE!,1)</f>
        <v>0</v>
      </c>
      <c r="L43" s="19">
        <f>Tables!L392</f>
        <v>0</v>
      </c>
      <c r="M43" s="120">
        <f>0.1*I43+CHOOSE((F43+1),0,0.1,1,10)*K43</f>
        <v>0</v>
      </c>
      <c r="N43" s="83"/>
      <c r="O43" s="56"/>
      <c r="P43" s="56"/>
    </row>
    <row r="44" spans="1:16" ht="12.75">
      <c r="A44" s="56"/>
      <c r="B44" s="47"/>
      <c r="C44" s="262" t="s">
        <v>1013</v>
      </c>
      <c r="D44" s="268"/>
      <c r="E44" s="65">
        <v>0</v>
      </c>
      <c r="F44" s="268"/>
      <c r="G44" s="268"/>
      <c r="H44" s="274" t="str">
        <f>IF(E44=0," ",CONCATENATE(ROUND(E44,1),"hr"))</f>
        <v> </v>
      </c>
      <c r="I44" s="19">
        <f>E44/8760*L43*CHOOSE((D7+1),0,0,0,0,0,0,0.75,0.25,0.1,0.1,0.1,0.1,0.1,0.1,0.1,0.1,0.1,0.1,0.1,0.1,0.1,0.1)</f>
        <v>0</v>
      </c>
      <c r="J44" s="19">
        <f>I44*19</f>
        <v>0</v>
      </c>
      <c r="K44" s="106"/>
      <c r="L44" s="106"/>
      <c r="M44" s="122"/>
      <c r="N44" s="83"/>
      <c r="O44" s="56"/>
      <c r="P44" s="56"/>
    </row>
    <row r="45" spans="1:16" ht="12.75">
      <c r="A45" s="56"/>
      <c r="B45" s="47"/>
      <c r="C45" s="262" t="s">
        <v>1015</v>
      </c>
      <c r="D45" s="268"/>
      <c r="E45" s="65">
        <v>0</v>
      </c>
      <c r="F45" s="65">
        <v>0</v>
      </c>
      <c r="G45" s="268"/>
      <c r="H45" s="274" t="str">
        <f>IF(E45=0," ",IF(D7&lt;9,"TL Violation",IF(F45&gt;CHOOSE((D7+1),2,2,2,2,2,2,2,2,2,2,2,2,2,3,3,3,3,3,3,3,3,3),"TL Violation",CONCATENATE(ROUND(Tables!L393,1),"MW"))))</f>
        <v> </v>
      </c>
      <c r="I45" s="19">
        <f>IF(E45=0,0,IF(D7&lt;6,#VALUE!,IF(Tables!K393&gt;Tables!E393*100000,Tables!K393,IF(Tables!J393&gt;Tables!E393*10000,Tables!J393,IF(Tables!I393&gt;Tables!E393*1000,Tables!I393,IF(Tables!H393&gt;Tables!E393*100,Tables!H393,IF(Tables!G393&gt;Tables!E393*10,Tables!G393,IF(Tables!F393&gt;Tables!E393,Tables!F393,Tables!E393))))))))</f>
        <v>0</v>
      </c>
      <c r="J45" s="19">
        <f>I45*CHOOSE((D7+1),0,0,0,0,0,0,0,0,0,4,4,4,4,3,3,2,1,1,1,1,1,1)</f>
        <v>0</v>
      </c>
      <c r="K45" s="19">
        <f>Tables!L393*CHOOSE((D7+1),0,0,0,0,0,0,0,0,0,1,0.1,0.1,0.01,0.01,0.001,0.001,0.001,0.001,0.001,0.001,0.001,0.001)*CHOOSE((((F45+1)-1)+1),1,2,10,20)*IF(F45&gt;CHOOSE((D7+1),2,2,2,2,2,2,2,2,2,2,2,2,2,3,3,3,3,3,3,3,3,3),#VALUE!,1)</f>
        <v>0</v>
      </c>
      <c r="L45" s="19">
        <f>Tables!L393</f>
        <v>0</v>
      </c>
      <c r="M45" s="120">
        <f>0.2*I45+CHOOSE((F45+1),0,0.1,1,10)*K45</f>
        <v>0</v>
      </c>
      <c r="N45" s="83"/>
      <c r="O45" s="56"/>
      <c r="P45" s="56"/>
    </row>
    <row r="46" spans="1:16" ht="12.75">
      <c r="A46" s="56"/>
      <c r="B46" s="47"/>
      <c r="C46" s="262" t="s">
        <v>1016</v>
      </c>
      <c r="D46" s="268"/>
      <c r="E46" s="65">
        <v>0</v>
      </c>
      <c r="F46" s="268"/>
      <c r="G46" s="268"/>
      <c r="H46" s="274" t="str">
        <f>IF(E46=0," ",CONCATENATE(ROUND(E46,1),"hr"))</f>
        <v> </v>
      </c>
      <c r="I46" s="19">
        <f>IF(E46=0,0,CHOOSE((D7+1),0,0,0,0,0,0,0,0,0,0.15,0.15,0.15,0.15,0.1,0.1,0.1,0.1,0.1,0.1,0.1,0.1,0.1,0.1)*E46/8760*L45)</f>
        <v>0</v>
      </c>
      <c r="J46" s="19">
        <f>I46*1.07</f>
        <v>0</v>
      </c>
      <c r="K46" s="106"/>
      <c r="L46" s="106"/>
      <c r="M46" s="122"/>
      <c r="N46" s="83"/>
      <c r="O46" s="56"/>
      <c r="P46" s="56"/>
    </row>
    <row r="47" spans="1:16" ht="12.75">
      <c r="A47" s="56"/>
      <c r="B47" s="47"/>
      <c r="C47" s="262" t="s">
        <v>1018</v>
      </c>
      <c r="D47" s="268"/>
      <c r="E47" s="65">
        <v>0</v>
      </c>
      <c r="F47" s="65">
        <v>0</v>
      </c>
      <c r="G47" s="268"/>
      <c r="H47" s="274" t="str">
        <f>IF(E47=0," ",IF(D7&lt;10,"TL Violation",IF(F47&gt;CHOOSE((D7+1),2,2,2,2,2,2,2,2,2,2,2,2,2,3,3,3,3,3,3,3,3,3),"TL Violation",CONCATENATE(ROUND(Tables!L394,1),"MW"))))</f>
        <v> </v>
      </c>
      <c r="I47" s="19">
        <f>IF(E47=0,0,IF(D7&lt;10,#VALUE!,MAX(E47/CHOOSE((((D7+1)-1)+1),0,0,0,0,0,0,0,0,0,0,3,3.8,4.8,6,7.7,9.8,9.8,9.8,9.8,9.8,9.8,9.8),CHOOSE((D7+1),0,0,0,0,0,0,0,0,0,0,0.02,0.015,0.01,0.007,0.006,0.004,0.004,0.004,0.004,0.004,0.004,0.004))))</f>
        <v>0</v>
      </c>
      <c r="J47" s="19">
        <f>I47*CHOOSE((D7+1),0,0,0,0,0,0,0,0,0,0,2,2,2,1.5,1.5,1,1,1,1,1,1,1)</f>
        <v>0</v>
      </c>
      <c r="K47" s="19">
        <f>Tables!L394*CHOOSE((D7+1),0,0,0,0,0,0,0,0,0,0,10,10,1,1,0.1,0.1,0.1,0.1,0.1,0.1,0.1,0.1)*IF(F47&gt;CHOOSE((D7+1),2,2,2,2,2,2,2,2,2,2,2,2,2,3,3,3,3,3,3,3,3,3),#VALUE!,1)</f>
        <v>0</v>
      </c>
      <c r="L47" s="19">
        <f>Tables!L394</f>
        <v>0</v>
      </c>
      <c r="M47" s="120">
        <f>0.01*I47+CHOOSE((F47+1),0,0.1,1,10)*K47</f>
        <v>0</v>
      </c>
      <c r="N47" s="83"/>
      <c r="O47" s="56"/>
      <c r="P47" s="56"/>
    </row>
    <row r="48" spans="1:16" ht="12.75">
      <c r="A48" s="56"/>
      <c r="B48" s="47"/>
      <c r="C48" s="262" t="s">
        <v>1019</v>
      </c>
      <c r="D48" s="268"/>
      <c r="E48" s="65">
        <v>0</v>
      </c>
      <c r="F48" s="268"/>
      <c r="G48" s="268"/>
      <c r="H48" s="274" t="str">
        <f>IF(E48=0," ",CONCATENATE(ROUND(E48,1),"hr"))</f>
        <v> </v>
      </c>
      <c r="I48" s="19">
        <f>E48*0.0015*I47</f>
        <v>0</v>
      </c>
      <c r="J48" s="19">
        <f>I48*1.07</f>
        <v>0</v>
      </c>
      <c r="K48" s="106"/>
      <c r="L48" s="106"/>
      <c r="M48" s="122"/>
      <c r="N48" s="83"/>
      <c r="O48" s="56"/>
      <c r="P48" s="56"/>
    </row>
    <row r="49" spans="1:16" ht="12.75">
      <c r="A49" s="56"/>
      <c r="B49" s="47"/>
      <c r="C49" s="262" t="s">
        <v>1021</v>
      </c>
      <c r="D49" s="268"/>
      <c r="E49" s="65">
        <v>0</v>
      </c>
      <c r="F49" s="65">
        <v>0</v>
      </c>
      <c r="G49" s="268"/>
      <c r="H49" s="274" t="str">
        <f>IF(E49=0," ",IF(D7&lt;7,"TL Violation",IF(F49&gt;CHOOSE((D7+1),2,2,2,2,2,2,2,2,2,2,2,2,2,3,3,3,3,3,3,3,3,3),"TL Violation",CONCATENATE(ROUND(Tables!L395,1),"MW"))))</f>
        <v> </v>
      </c>
      <c r="I49" s="19">
        <f>IF(E49=0,0,IF(D7&lt;6,#VALUE!,IF(Tables!K395&gt;Tables!E395*100000,Tables!K395,IF(Tables!J395&gt;Tables!E395*10000,Tables!J395,IF(Tables!I395&gt;Tables!E395*1000,Tables!I395,IF(Tables!H395&gt;Tables!E395*100,Tables!H395,IF(Tables!G395&gt;Tables!E395*10,Tables!G395,IF(Tables!F395&gt;Tables!E395,Tables!F395,Tables!E395))))))))</f>
        <v>0</v>
      </c>
      <c r="J49" s="19">
        <f>I49</f>
        <v>0</v>
      </c>
      <c r="K49" s="19">
        <f>Tables!L395*CHOOSE((D7+1),0,0,0,0,0,0,0,10,10,10,10,10,1,1,0.1,0.1,0.01,0.01,0.01,0.01,0.01,0.01)*CHOOSE((F49+1),1,2,10,20)*IF(F49&gt;CHOOSE((((D7+1)-1)+1),2,2,2,2,2,2,2,2,2,2,2,2,2,3,3,3,3,3,3,3,3,3),#VALUE!,1)</f>
        <v>0</v>
      </c>
      <c r="L49" s="19">
        <f>Tables!L395</f>
        <v>0</v>
      </c>
      <c r="M49" s="120">
        <f>0.02*I49+CHOOSE((F49+1),0,0.1,1,10)*K49</f>
        <v>0</v>
      </c>
      <c r="N49" s="83"/>
      <c r="O49" s="56"/>
      <c r="P49" s="56"/>
    </row>
    <row r="50" spans="1:16" ht="12.75">
      <c r="A50" s="56"/>
      <c r="B50" s="47"/>
      <c r="C50" s="262" t="s">
        <v>1022</v>
      </c>
      <c r="D50" s="268"/>
      <c r="E50" s="65">
        <v>0</v>
      </c>
      <c r="F50" s="268"/>
      <c r="G50" s="268"/>
      <c r="H50" s="274" t="str">
        <f>IF(E50=0," ",CONCATENATE(ROUND(E50,1),"hr"))</f>
        <v> </v>
      </c>
      <c r="I50" s="19">
        <f>E50*L49*CHOOSE((D7+1),0,0,0,0,0,0,0,0.3,0.3,0.3,0.3,0.3,0.25,0.25,0.2,0.2,0.2,0.2,0.2,0.2,0.2,0.2)</f>
        <v>0</v>
      </c>
      <c r="J50" s="19">
        <f>I50*0.9</f>
        <v>0</v>
      </c>
      <c r="K50" s="106"/>
      <c r="L50" s="106"/>
      <c r="M50" s="122"/>
      <c r="N50" s="83"/>
      <c r="O50" s="56"/>
      <c r="P50" s="56"/>
    </row>
    <row r="51" spans="1:16" ht="12.75">
      <c r="A51" s="56"/>
      <c r="B51" s="47"/>
      <c r="C51" s="262" t="s">
        <v>1186</v>
      </c>
      <c r="D51" s="268"/>
      <c r="E51" s="65">
        <v>0</v>
      </c>
      <c r="F51" s="65">
        <v>0</v>
      </c>
      <c r="G51" s="268"/>
      <c r="H51" s="274" t="str">
        <f>IF(E51=0," ",IF(D7&lt;17,"TL Violation",IF(F51&gt;CHOOSE((C51+1),2,2,2,2,2,2,2,2,2,2,2,2,2,3,3,3,3,3,3,3,3,3),"TL Violation",CONCATENATE(ROUND(Tables!L396,1),"MW"))))</f>
        <v> </v>
      </c>
      <c r="I51" s="19">
        <f>IF(E51=0,0,IF(D7&lt;6,#VALUE!,IF(Tables!K396&gt;Tables!E396*100000,Tables!K396,IF(Tables!J396&gt;Tables!E396*10000,Tables!J396,IF(Tables!I396&gt;Tables!E396*1000,Tables!I396,IF(Tables!H396&gt;Tables!E396*100,Tables!H396,IF(Tables!G396&gt;Tables!E396*10,Tables!G396,IF(Tables!F396&gt;Tables!E396,Tables!F396,Tables!E396))))))))</f>
        <v>0</v>
      </c>
      <c r="J51" s="19">
        <f>CHOOSE((D7+1),0,0,0,0,0,0,0,0,0,0,0,0,0,0,0,0,0,6,5,4,3,2)*I51</f>
        <v>0</v>
      </c>
      <c r="K51" s="19">
        <f>CHOOSE((D7+1),0,0,0,0,0,0,0,0,0,0,0,0,0,0,0,0,0,0.01,0.01,0.001,0.001,0.001)*Tables!L396*CHOOSE((F51+1),1,2,10,20)*IF(F51&gt;CHOOSE((((D7+1)-1)+1),2,2,2,2,2,2,2,2,2,2,2,2,2,3,3,3,3,3,3,3,3,3),#VALUE!,1)</f>
        <v>0</v>
      </c>
      <c r="L51" s="19">
        <f>Tables!L396</f>
        <v>0</v>
      </c>
      <c r="M51" s="120">
        <f>0.5*I51+CHOOSE((F51+1),0,0.1,1,10)*K51</f>
        <v>0</v>
      </c>
      <c r="N51" s="83"/>
      <c r="O51" s="56"/>
      <c r="P51" s="56"/>
    </row>
    <row r="52" spans="1:16" ht="12.75">
      <c r="A52" s="56"/>
      <c r="B52" s="47"/>
      <c r="C52" s="262" t="s">
        <v>1025</v>
      </c>
      <c r="D52" s="268"/>
      <c r="E52" s="65">
        <v>0</v>
      </c>
      <c r="F52" s="268"/>
      <c r="G52" s="268"/>
      <c r="H52" s="274" t="str">
        <f>IF(E52=0," ",CONCATENATE(ROUND(E52,1),"hr"))</f>
        <v> </v>
      </c>
      <c r="I52" s="19">
        <f>E52/8760*L51*CHOOSE((D7+1),0,0,0,0,0,0,0,0,0,0,0,0,0,0,0,0,0,0.005,0.002,0.001,0.0005,0.0002)</f>
        <v>0</v>
      </c>
      <c r="J52" s="19">
        <f>I52*0.07</f>
        <v>0</v>
      </c>
      <c r="K52" s="106"/>
      <c r="L52" s="106"/>
      <c r="M52" s="122"/>
      <c r="N52" s="83"/>
      <c r="O52" s="56"/>
      <c r="P52" s="56"/>
    </row>
    <row r="53" spans="1:16" ht="12.75">
      <c r="A53" s="56"/>
      <c r="B53" s="47"/>
      <c r="C53" s="262" t="s">
        <v>1027</v>
      </c>
      <c r="D53" s="268"/>
      <c r="E53" s="65">
        <v>0</v>
      </c>
      <c r="F53" s="65">
        <v>0</v>
      </c>
      <c r="G53" s="268"/>
      <c r="H53" s="274" t="str">
        <f>IF(E53=0," ",IF(D7&lt;6,"TL Violation",CONCATENATE(ROUND(E53,0),"MW")))</f>
        <v> </v>
      </c>
      <c r="I53" s="19">
        <f>IF(E53=0,0,IF(D7&lt;6,#VALUE!,E53/CHOOSE((D7+1),0,0,0,0,0,0,0.001,0.0015,0.002,0.0025,0.003,0.004,0.004,0.004,0.004,0.004,0.004,0.004,0.004,0.004,0.004,0.004)))*IF(F53=2,1.1,1)</f>
        <v>0</v>
      </c>
      <c r="J53" s="19">
        <f>I53*2*IF(F53&gt;0,10*MAX(E8163,E8166,E8165,E8167,E8168,E8169),1)*IF(F53=2,2,1)</f>
        <v>0</v>
      </c>
      <c r="K53" s="19">
        <f>IF(F53&gt;0,0,L53*12)</f>
        <v>0</v>
      </c>
      <c r="L53" s="19">
        <f>E53</f>
        <v>0</v>
      </c>
      <c r="M53" s="120">
        <f>CHOOSE((D7+1),0,0,0,0,0,0,0.005,0.006,0.006,0.006,0.006,0.006,0.006,0.006,0.006,0.006,0.006,0.006,0.006,0.006,0.006,0.006,0.006)*I53</f>
        <v>0</v>
      </c>
      <c r="N53" s="83"/>
      <c r="O53" s="56"/>
      <c r="P53" s="56"/>
    </row>
    <row r="54" spans="1:16" ht="12.75">
      <c r="A54" s="56"/>
      <c r="B54" s="47"/>
      <c r="C54" s="262" t="s">
        <v>858</v>
      </c>
      <c r="D54" s="268"/>
      <c r="E54" s="65">
        <v>0.0022</v>
      </c>
      <c r="F54" s="65">
        <v>24</v>
      </c>
      <c r="G54" s="268"/>
      <c r="H54" s="274" t="str">
        <f>IF(E54=0," ",IF(D7&lt;6,"TL Violation",CONCATENATE(ROUND(E54*F54,3)," MW/hr")))</f>
        <v>0.053 MW/hr</v>
      </c>
      <c r="I54" s="19">
        <f>(E54*F54)/CHOOSE((D7+1),0,0,0,0,0.04,0.06,0.08,0.1,0.2,0.4,0.8,1,1.5,2,2.5,3,3.5,4,6,8,10,12)</f>
        <v>0.0352</v>
      </c>
      <c r="J54" s="19">
        <f>CHOOSE((D7+1),0,0,0,0,2,2,2,2,2,2,2,2,2,2.5,2.5,2.5,2.5,2.5,3,4,5,6)*I54</f>
        <v>0.0704</v>
      </c>
      <c r="K54" s="106"/>
      <c r="L54" s="19">
        <f>E54</f>
        <v>0.0022</v>
      </c>
      <c r="M54" s="120">
        <f>CHOOSE((D7+1),0,0,0,0,0.0001,0.0001,0.0008,0.0008,0.001,0.002,0.003,0.004,0.005,0.008,0.01,0.015,0.02,0.025,0.03,0.04,0.05,0.1)*I54</f>
        <v>0.00017600000000000002</v>
      </c>
      <c r="N54" s="83"/>
      <c r="O54" s="56"/>
      <c r="P54" s="56"/>
    </row>
    <row r="55" spans="1:16" ht="12.75">
      <c r="A55" s="56"/>
      <c r="B55" s="47"/>
      <c r="C55" s="12" t="s">
        <v>341</v>
      </c>
      <c r="D55" s="167"/>
      <c r="E55" s="167"/>
      <c r="F55" s="167"/>
      <c r="G55" s="167"/>
      <c r="H55" s="167"/>
      <c r="I55" s="104">
        <f>SUM(I16:I54)</f>
        <v>6.999999999999999</v>
      </c>
      <c r="J55" s="104">
        <f>IF(D8=1,7,SUM(J16:J54))</f>
        <v>7</v>
      </c>
      <c r="K55" s="104">
        <f>SUM(K16:K54)</f>
        <v>1.1225</v>
      </c>
      <c r="L55" s="104">
        <f>SUM(L16:L42)</f>
        <v>0.002019</v>
      </c>
      <c r="M55" s="138">
        <f>SUM(M16:M54)</f>
        <v>0.6944487272727271</v>
      </c>
      <c r="N55" s="83"/>
      <c r="O55" s="56"/>
      <c r="P55" s="56"/>
    </row>
    <row r="56" spans="1:16" ht="12.75">
      <c r="A56" s="56"/>
      <c r="B56" s="47"/>
      <c r="C56" s="13" t="s">
        <v>1113</v>
      </c>
      <c r="D56" s="166"/>
      <c r="E56" s="166"/>
      <c r="F56" s="166"/>
      <c r="G56" s="166"/>
      <c r="H56" s="166"/>
      <c r="I56" s="105">
        <f>E9-I55</f>
        <v>0</v>
      </c>
      <c r="J56" s="166"/>
      <c r="K56" s="105">
        <f>D11-K55</f>
        <v>23.6475</v>
      </c>
      <c r="L56" s="105">
        <f>SUM(L43:L54)-L55</f>
        <v>0.00018100000000000017</v>
      </c>
      <c r="M56" s="139">
        <f>IF(D12=0,0,D12-M55)</f>
        <v>0</v>
      </c>
      <c r="N56" s="83"/>
      <c r="O56" s="56"/>
      <c r="P56" s="56"/>
    </row>
    <row r="57" spans="1:16" ht="12.75">
      <c r="A57" s="56"/>
      <c r="B57" s="47"/>
      <c r="C57" s="52"/>
      <c r="D57" s="52"/>
      <c r="E57" s="52"/>
      <c r="F57" s="52"/>
      <c r="G57" s="52"/>
      <c r="H57" s="52"/>
      <c r="I57" s="194"/>
      <c r="J57" s="194"/>
      <c r="K57" s="194"/>
      <c r="L57" s="194"/>
      <c r="M57" s="98"/>
      <c r="N57" s="83"/>
      <c r="O57" s="56"/>
      <c r="P57" s="56"/>
    </row>
    <row r="58" spans="1:16" ht="12.75">
      <c r="A58" s="56"/>
      <c r="B58" s="47"/>
      <c r="C58" s="205" t="s">
        <v>1187</v>
      </c>
      <c r="D58" s="210"/>
      <c r="E58" s="210"/>
      <c r="F58" s="210"/>
      <c r="G58" s="210"/>
      <c r="H58" s="212"/>
      <c r="I58" s="194"/>
      <c r="J58" s="194"/>
      <c r="K58" s="194"/>
      <c r="L58" s="194"/>
      <c r="M58" s="98"/>
      <c r="N58" s="83"/>
      <c r="O58" s="56"/>
      <c r="P58" s="56"/>
    </row>
    <row r="59" spans="1:16" ht="12.75">
      <c r="A59" s="465"/>
      <c r="B59" s="476"/>
      <c r="C59" s="484" t="s">
        <v>553</v>
      </c>
      <c r="D59" s="485" t="str">
        <f>IF(D8=1,"Cmd DL 1d6/2 6.0G12 1000AU",CONCATENATE(H17," DL ",ROUND(D16,0),"d6/",ROUND(VLOOKUP(CHOOSE((F16+1),36,50,61,80,94,113),Tables!$A$2:$B$61,2),0)," [",ROUND(CHOOSE((F16+1),36,50,61,80,94,113),0),"] ",CONCATENATE(ROUND(Tables!E374/J55/10,1),"G"),"/",Tables!E387," ",IF(E17=2," ",H21)))</f>
        <v>Cmd DL 1d6/2 6.0G12 1000AU</v>
      </c>
      <c r="E59" s="485"/>
      <c r="F59" s="485"/>
      <c r="G59" s="485"/>
      <c r="H59" s="492"/>
      <c r="I59" s="483"/>
      <c r="J59" s="483"/>
      <c r="K59" s="483"/>
      <c r="L59" s="483"/>
      <c r="M59" s="463"/>
      <c r="N59" s="464"/>
      <c r="O59" s="465"/>
      <c r="P59" s="465"/>
    </row>
    <row r="60" spans="1:16" ht="12.75">
      <c r="A60" s="56"/>
      <c r="B60" s="47"/>
      <c r="C60" s="264" t="s">
        <v>1135</v>
      </c>
      <c r="D60" s="468" t="str">
        <f>IF($D$8=1,IF(Mis2TL&lt;13,"Cmd DL 17:11 -6 def. 6G, Long","Cmd DL 18:12 -6 def. 6G, Long"),CONCATENATE($H$17," DL ",VLOOKUP(CHOOSE($F$16+1,36,50,61,80,94,113)*20,CombatUSDTable,2),":",VLOOKUP(CHOOSE($F$16+1,36,50,61,80,94,113)*($D$16*3),CombatUSDTable,2)," ",Tables!E383," def.",Tables!E384,"G, ",Tables!E388,Tables!E389))</f>
        <v>Cmd DL 17:11 -6 def. 6G, Long</v>
      </c>
      <c r="E60" s="211"/>
      <c r="F60" s="211"/>
      <c r="G60" s="211"/>
      <c r="H60" s="214"/>
      <c r="I60" s="194"/>
      <c r="J60" s="194"/>
      <c r="K60" s="194"/>
      <c r="L60" s="194"/>
      <c r="M60" s="98"/>
      <c r="N60" s="83"/>
      <c r="O60" s="56"/>
      <c r="P60" s="56"/>
    </row>
    <row r="61" spans="1:16" ht="12.75">
      <c r="A61" s="56"/>
      <c r="B61" s="47"/>
      <c r="C61" s="52"/>
      <c r="D61" s="52"/>
      <c r="E61" s="52"/>
      <c r="F61" s="52"/>
      <c r="G61" s="52"/>
      <c r="H61" s="52"/>
      <c r="I61" s="194"/>
      <c r="J61" s="194"/>
      <c r="K61" s="194"/>
      <c r="L61" s="194"/>
      <c r="M61" s="98"/>
      <c r="N61" s="83"/>
      <c r="O61" s="56"/>
      <c r="P61" s="56"/>
    </row>
    <row r="62" spans="1:16" ht="12.75">
      <c r="A62" s="56"/>
      <c r="B62" s="47"/>
      <c r="C62" s="205" t="s">
        <v>1188</v>
      </c>
      <c r="D62" s="210"/>
      <c r="E62" s="210"/>
      <c r="F62" s="210"/>
      <c r="G62" s="210"/>
      <c r="H62" s="212"/>
      <c r="I62" s="194"/>
      <c r="J62" s="194"/>
      <c r="K62" s="194"/>
      <c r="L62" s="194"/>
      <c r="M62" s="98"/>
      <c r="N62" s="83"/>
      <c r="O62" s="56"/>
      <c r="P62" s="56"/>
    </row>
    <row r="63" spans="1:16" ht="12.75">
      <c r="A63" s="56"/>
      <c r="B63" s="47"/>
      <c r="C63" s="254" t="s">
        <v>887</v>
      </c>
      <c r="D63" s="89">
        <v>0</v>
      </c>
      <c r="E63" s="163" t="str">
        <f>CHOOSE((D63+1),"Canister","Launcher","Launcher w/Autoloader")</f>
        <v>Canister</v>
      </c>
      <c r="F63" s="163"/>
      <c r="G63" s="163"/>
      <c r="H63" s="216"/>
      <c r="I63" s="194"/>
      <c r="J63" s="194"/>
      <c r="K63" s="194"/>
      <c r="L63" s="194"/>
      <c r="M63" s="98"/>
      <c r="N63" s="83"/>
      <c r="O63" s="56"/>
      <c r="P63" s="56"/>
    </row>
    <row r="64" spans="1:16" ht="12.75">
      <c r="A64" s="56"/>
      <c r="B64" s="47"/>
      <c r="C64" s="177" t="s">
        <v>1189</v>
      </c>
      <c r="D64" s="25">
        <v>40</v>
      </c>
      <c r="E64" s="168"/>
      <c r="F64" s="168"/>
      <c r="G64" s="168"/>
      <c r="H64" s="172"/>
      <c r="I64" s="194"/>
      <c r="J64" s="194"/>
      <c r="K64" s="194"/>
      <c r="L64" s="194"/>
      <c r="M64" s="98"/>
      <c r="N64" s="83"/>
      <c r="O64" s="56"/>
      <c r="P64" s="56"/>
    </row>
    <row r="65" spans="1:16" ht="12.75">
      <c r="A65" s="56"/>
      <c r="B65" s="47"/>
      <c r="C65" s="177" t="s">
        <v>1190</v>
      </c>
      <c r="D65" s="25">
        <v>0</v>
      </c>
      <c r="E65" s="168"/>
      <c r="F65" s="168"/>
      <c r="G65" s="168"/>
      <c r="H65" s="172"/>
      <c r="I65" s="194"/>
      <c r="J65" s="194"/>
      <c r="K65" s="194"/>
      <c r="L65" s="194"/>
      <c r="M65" s="98"/>
      <c r="N65" s="83"/>
      <c r="O65" s="56"/>
      <c r="P65" s="56"/>
    </row>
    <row r="66" spans="1:16" ht="12.75">
      <c r="A66" s="56"/>
      <c r="B66" s="47"/>
      <c r="C66" s="177" t="s">
        <v>1191</v>
      </c>
      <c r="D66" s="25">
        <v>1</v>
      </c>
      <c r="E66" s="163" t="str">
        <f>CHOOSE((D66+1),"No","Yes")</f>
        <v>Yes</v>
      </c>
      <c r="F66" s="163"/>
      <c r="G66" s="163"/>
      <c r="H66" s="216"/>
      <c r="I66" s="194"/>
      <c r="J66" s="194"/>
      <c r="K66" s="194"/>
      <c r="L66" s="194"/>
      <c r="M66" s="98"/>
      <c r="N66" s="83"/>
      <c r="O66" s="56"/>
      <c r="P66" s="56"/>
    </row>
    <row r="67" spans="1:16" ht="12.75">
      <c r="A67" s="56"/>
      <c r="B67" s="47"/>
      <c r="C67" s="177" t="s">
        <v>1127</v>
      </c>
      <c r="D67" s="25">
        <v>1</v>
      </c>
      <c r="E67" s="163" t="str">
        <f>CHOOSE((D67+1),"No","Yes")</f>
        <v>Yes</v>
      </c>
      <c r="F67" s="163"/>
      <c r="G67" s="163"/>
      <c r="H67" s="216"/>
      <c r="I67" s="194"/>
      <c r="J67" s="194"/>
      <c r="K67" s="194"/>
      <c r="L67" s="194"/>
      <c r="M67" s="98"/>
      <c r="N67" s="83"/>
      <c r="O67" s="56"/>
      <c r="P67" s="56"/>
    </row>
    <row r="68" spans="1:16" ht="12.75">
      <c r="A68" s="56"/>
      <c r="B68" s="47"/>
      <c r="C68" s="276" t="s">
        <v>1192</v>
      </c>
      <c r="D68" s="25">
        <v>6</v>
      </c>
      <c r="E68" s="163" t="str">
        <f>IF(D67=0,"n/a",CHOOSE((D68+1),"0.5km","5km","50km","500km","5,000km","50,000km","500,000km"))</f>
        <v>500,000km</v>
      </c>
      <c r="F68" s="163"/>
      <c r="G68" s="163"/>
      <c r="H68" s="216"/>
      <c r="I68" s="194"/>
      <c r="J68" s="194"/>
      <c r="K68" s="194"/>
      <c r="L68" s="194"/>
      <c r="M68" s="98"/>
      <c r="N68" s="83"/>
      <c r="O68" s="56"/>
      <c r="P68" s="56"/>
    </row>
    <row r="69" spans="1:16" ht="12.75">
      <c r="A69" s="56"/>
      <c r="B69" s="47"/>
      <c r="C69" s="177" t="s">
        <v>1193</v>
      </c>
      <c r="D69" s="25">
        <v>3</v>
      </c>
      <c r="E69" s="163">
        <f>IF(D67=0,IF(D69&gt;0,CONCATENATE("Error: with no MFD, controlled missiles is 0.",""),""),"")</f>
      </c>
      <c r="F69" s="163"/>
      <c r="G69" s="163"/>
      <c r="H69" s="216"/>
      <c r="I69" s="194"/>
      <c r="J69" s="194"/>
      <c r="K69" s="194"/>
      <c r="L69" s="194"/>
      <c r="M69" s="98"/>
      <c r="N69" s="83"/>
      <c r="O69" s="56"/>
      <c r="P69" s="56"/>
    </row>
    <row r="70" spans="1:16" ht="12.75">
      <c r="A70" s="465"/>
      <c r="B70" s="476"/>
      <c r="C70" s="477" t="s">
        <v>1194</v>
      </c>
      <c r="D70" s="478">
        <v>3</v>
      </c>
      <c r="E70" s="163">
        <f>IF(D70&gt;Tables!E379,CONCATENATE("Error: Exceeds max salvo of ",Tables!E379),"")</f>
      </c>
      <c r="F70" s="163"/>
      <c r="G70" s="163"/>
      <c r="H70" s="216"/>
      <c r="I70" s="483"/>
      <c r="J70" s="483"/>
      <c r="K70" s="483"/>
      <c r="L70" s="483"/>
      <c r="M70" s="463"/>
      <c r="N70" s="464"/>
      <c r="O70" s="465"/>
      <c r="P70" s="465"/>
    </row>
    <row r="71" spans="1:16" ht="12.75">
      <c r="A71" s="56"/>
      <c r="B71" s="47"/>
      <c r="C71" s="298" t="s">
        <v>1131</v>
      </c>
      <c r="D71" s="295">
        <v>0</v>
      </c>
      <c r="E71" s="299"/>
      <c r="F71" s="299"/>
      <c r="G71" s="299"/>
      <c r="H71" s="300"/>
      <c r="I71" s="194"/>
      <c r="J71" s="194"/>
      <c r="K71" s="194"/>
      <c r="L71" s="194"/>
      <c r="M71" s="98"/>
      <c r="N71" s="83"/>
      <c r="O71" s="56"/>
      <c r="P71" s="56"/>
    </row>
    <row r="72" spans="1:16" ht="12.75">
      <c r="A72" s="56"/>
      <c r="B72" s="47"/>
      <c r="C72" s="179" t="s">
        <v>1195</v>
      </c>
      <c r="D72" s="31">
        <v>0</v>
      </c>
      <c r="E72" s="224" t="str">
        <f>CHOOSE((D72+1),"None","42m turret","84m turret","50std bay","100std bay")</f>
        <v>None</v>
      </c>
      <c r="F72" s="211"/>
      <c r="G72" s="211"/>
      <c r="H72" s="214"/>
      <c r="I72" s="194"/>
      <c r="J72" s="194"/>
      <c r="K72" s="194"/>
      <c r="L72" s="194"/>
      <c r="M72" s="98"/>
      <c r="N72" s="83"/>
      <c r="O72" s="56"/>
      <c r="P72" s="56"/>
    </row>
    <row r="73" spans="1:16" ht="12.75">
      <c r="A73" s="56"/>
      <c r="B73" s="47"/>
      <c r="C73" s="52"/>
      <c r="D73" s="52"/>
      <c r="E73" s="52"/>
      <c r="F73" s="52"/>
      <c r="G73" s="52"/>
      <c r="H73" s="52"/>
      <c r="I73" s="194"/>
      <c r="J73" s="194"/>
      <c r="K73" s="194"/>
      <c r="L73" s="194"/>
      <c r="M73" s="98"/>
      <c r="N73" s="83"/>
      <c r="O73" s="56"/>
      <c r="P73" s="56"/>
    </row>
    <row r="74" spans="1:16" ht="12.75">
      <c r="A74" s="56"/>
      <c r="B74" s="47"/>
      <c r="C74" s="205" t="s">
        <v>1196</v>
      </c>
      <c r="D74" s="207"/>
      <c r="E74" s="207"/>
      <c r="F74" s="207"/>
      <c r="G74" s="207"/>
      <c r="H74" s="241"/>
      <c r="I74" s="241" t="s">
        <v>1197</v>
      </c>
      <c r="J74" s="242" t="s">
        <v>911</v>
      </c>
      <c r="K74" s="242" t="s">
        <v>912</v>
      </c>
      <c r="L74" s="242" t="s">
        <v>913</v>
      </c>
      <c r="M74" s="176" t="s">
        <v>1142</v>
      </c>
      <c r="N74" s="83"/>
      <c r="O74" s="56"/>
      <c r="P74" s="56"/>
    </row>
    <row r="75" spans="1:16" ht="12.75">
      <c r="A75" s="56"/>
      <c r="B75" s="47"/>
      <c r="C75" s="254" t="s">
        <v>1198</v>
      </c>
      <c r="D75" s="168"/>
      <c r="E75" s="168"/>
      <c r="F75" s="168"/>
      <c r="G75" s="168"/>
      <c r="H75" s="234"/>
      <c r="I75" s="239">
        <f>CHOOSE((D63+1),E9*1.1,E9*2,E9*4)*D64</f>
        <v>308.00000000000006</v>
      </c>
      <c r="J75" s="18">
        <f>(I75*CHOOSE((D63+1),0.1,0.5,0.5))+(D64*J55)</f>
        <v>310.8</v>
      </c>
      <c r="K75" s="18">
        <f>D10^2*D64</f>
        <v>60.516</v>
      </c>
      <c r="L75" s="237"/>
      <c r="M75" s="116">
        <f>CHOOSE((I63+1),0.0001,0.0007,0.0014)*I75</f>
        <v>0.030800000000000008</v>
      </c>
      <c r="N75" s="83"/>
      <c r="O75" s="56"/>
      <c r="P75" s="56"/>
    </row>
    <row r="76" spans="1:16" ht="12.75">
      <c r="A76" s="56"/>
      <c r="B76" s="47"/>
      <c r="C76" s="254" t="s">
        <v>1199</v>
      </c>
      <c r="D76" s="168"/>
      <c r="E76" s="168"/>
      <c r="F76" s="168"/>
      <c r="G76" s="168"/>
      <c r="H76" s="234"/>
      <c r="I76" s="239">
        <f>E9*D65*D64</f>
        <v>0</v>
      </c>
      <c r="J76" s="18">
        <f>J55*D64*D65</f>
        <v>0</v>
      </c>
      <c r="K76" s="237"/>
      <c r="L76" s="237"/>
      <c r="M76" s="238"/>
      <c r="N76" s="83"/>
      <c r="O76" s="56"/>
      <c r="P76" s="56"/>
    </row>
    <row r="77" spans="1:16" ht="12.75">
      <c r="A77" s="56"/>
      <c r="B77" s="47"/>
      <c r="C77" s="254" t="s">
        <v>980</v>
      </c>
      <c r="D77" s="168"/>
      <c r="E77" s="168"/>
      <c r="F77" s="168"/>
      <c r="G77" s="168"/>
      <c r="H77" s="234"/>
      <c r="I77" s="239">
        <f>IF(AND(IF($E$17&lt;2,TRUE(),FALSE()),IF(D66&gt;0,TRUE(),FALSE())),I21,0)</f>
        <v>0.035</v>
      </c>
      <c r="J77" s="18">
        <f>IF(AND(IF($E$17&lt;2,TRUE(),FALSE()),IF(D66&gt;0,TRUE(),FALSE())),J21,0)</f>
        <v>0.07</v>
      </c>
      <c r="K77" s="18">
        <f>IF(AND(IF($E$17&lt;2,TRUE(),FALSE()),IF(D66&gt;0,TRUE(),FALSE())),K21,0)</f>
        <v>1</v>
      </c>
      <c r="L77" s="18">
        <f>IF(AND(IF($E$17&lt;2,TRUE(),FALSE()),IF(D66&gt;0,TRUE(),FALSE())),L21,0)</f>
        <v>0.002019</v>
      </c>
      <c r="M77" s="116">
        <f>IF(AND(IF($E$17&lt;2,TRUE(),FALSE()),IF(D66&gt;0,TRUE(),FALSE())),M21,0)</f>
        <v>0.071</v>
      </c>
      <c r="N77" s="83"/>
      <c r="O77" s="56"/>
      <c r="P77" s="56"/>
    </row>
    <row r="78" spans="1:16" ht="12.75">
      <c r="A78" s="56"/>
      <c r="B78" s="47"/>
      <c r="C78" s="254" t="s">
        <v>1200</v>
      </c>
      <c r="D78" s="168"/>
      <c r="E78" s="168"/>
      <c r="F78" s="168"/>
      <c r="G78" s="168"/>
      <c r="H78" s="234"/>
      <c r="I78" s="239">
        <f>IF(D66=0,0,IF(D67=0,7,IF(Design!F230&gt;0,14,7)))</f>
        <v>7</v>
      </c>
      <c r="J78" s="18">
        <f>IF(D66=0,0,0.2)</f>
        <v>0.2</v>
      </c>
      <c r="K78" s="237"/>
      <c r="L78" s="237"/>
      <c r="M78" s="238"/>
      <c r="N78" s="83"/>
      <c r="O78" s="56"/>
      <c r="P78" s="56"/>
    </row>
    <row r="79" spans="1:16" ht="12.75">
      <c r="A79" s="56"/>
      <c r="B79" s="47"/>
      <c r="C79" s="254" t="s">
        <v>1201</v>
      </c>
      <c r="D79" s="168"/>
      <c r="E79" s="168"/>
      <c r="F79" s="168"/>
      <c r="G79" s="168"/>
      <c r="H79" s="234"/>
      <c r="I79" s="19">
        <f>IF(D67=0,0,VLOOKUP(D68,Tables!D128:Z134,(D7+1+1))*Tables!E375)</f>
        <v>33.33</v>
      </c>
      <c r="J79" s="19">
        <f>I79</f>
        <v>33.33</v>
      </c>
      <c r="K79" s="106"/>
      <c r="L79" s="19">
        <f>I79*0.01</f>
        <v>0.3333</v>
      </c>
      <c r="M79" s="120">
        <f>I79</f>
        <v>33.33</v>
      </c>
      <c r="N79" s="83"/>
      <c r="O79" s="56"/>
      <c r="P79" s="56"/>
    </row>
    <row r="80" spans="1:16" ht="12.75">
      <c r="A80" s="56"/>
      <c r="B80" s="47"/>
      <c r="C80" s="282" t="s">
        <v>570</v>
      </c>
      <c r="D80" s="168"/>
      <c r="E80" s="168"/>
      <c r="F80" s="168"/>
      <c r="G80" s="168"/>
      <c r="H80" s="234"/>
      <c r="I80" s="19">
        <f>Tables!E377*Tables!F377</f>
        <v>0</v>
      </c>
      <c r="J80" s="19">
        <f>I80*Tables!F10</f>
        <v>0</v>
      </c>
      <c r="K80" s="106"/>
      <c r="L80" s="19">
        <f>I80*Tables!F12</f>
        <v>0</v>
      </c>
      <c r="M80" s="120">
        <f>Tables!F11*I80</f>
        <v>0</v>
      </c>
      <c r="N80" s="83"/>
      <c r="O80" s="56"/>
      <c r="P80" s="56"/>
    </row>
    <row r="81" spans="1:16" ht="12.75">
      <c r="A81" s="56"/>
      <c r="B81" s="47"/>
      <c r="C81" s="254" t="s">
        <v>1132</v>
      </c>
      <c r="D81" s="168"/>
      <c r="E81" s="168"/>
      <c r="F81" s="168"/>
      <c r="G81" s="168"/>
      <c r="H81" s="234"/>
      <c r="I81" s="18">
        <f>IF(D72=0,0,CHOOSE((D72+1),0,42,84,700,1400)-SUM(I75:I80))</f>
        <v>0</v>
      </c>
      <c r="J81" s="237"/>
      <c r="K81" s="237"/>
      <c r="L81" s="237"/>
      <c r="M81" s="238"/>
      <c r="N81" s="83"/>
      <c r="O81" s="56"/>
      <c r="P81" s="56"/>
    </row>
    <row r="82" spans="1:16" ht="12.75">
      <c r="A82" s="56"/>
      <c r="B82" s="47"/>
      <c r="C82" s="199" t="s">
        <v>341</v>
      </c>
      <c r="D82" s="233"/>
      <c r="E82" s="233"/>
      <c r="F82" s="233"/>
      <c r="G82" s="233"/>
      <c r="H82" s="235"/>
      <c r="I82" s="240">
        <f>IF(I81&lt;0,#VALUE!,SUM(I75:I81))</f>
        <v>348.36500000000007</v>
      </c>
      <c r="J82" s="240">
        <f>SUM(J75:J81)</f>
        <v>344.4</v>
      </c>
      <c r="K82" s="240">
        <f>SUM(K75:K81)</f>
        <v>61.516</v>
      </c>
      <c r="L82" s="240">
        <f>SUM(L75:L81)</f>
        <v>0.335319</v>
      </c>
      <c r="M82" s="173">
        <f>SUM(M75:M81)</f>
        <v>33.431799999999996</v>
      </c>
      <c r="N82" s="83"/>
      <c r="O82" s="56"/>
      <c r="P82" s="56"/>
    </row>
    <row r="83" spans="1:16" ht="12.75">
      <c r="A83" s="56"/>
      <c r="B83" s="47"/>
      <c r="C83" s="52"/>
      <c r="D83" s="52"/>
      <c r="E83" s="52"/>
      <c r="F83" s="52"/>
      <c r="G83" s="52"/>
      <c r="H83" s="52"/>
      <c r="I83" s="194"/>
      <c r="J83" s="194"/>
      <c r="K83" s="194"/>
      <c r="L83" s="194"/>
      <c r="M83" s="98"/>
      <c r="N83" s="83"/>
      <c r="O83" s="56"/>
      <c r="P83" s="56"/>
    </row>
    <row r="84" spans="1:16" ht="13.5" thickTop="1">
      <c r="A84" s="56"/>
      <c r="B84" s="47"/>
      <c r="C84" s="205" t="s">
        <v>1202</v>
      </c>
      <c r="D84" s="210"/>
      <c r="E84" s="210"/>
      <c r="F84" s="210"/>
      <c r="G84" s="210"/>
      <c r="H84" s="212"/>
      <c r="I84" s="194"/>
      <c r="J84" s="194"/>
      <c r="K84" s="194"/>
      <c r="L84" s="194"/>
      <c r="M84" s="98"/>
      <c r="N84" s="83"/>
      <c r="O84" s="56"/>
      <c r="P84" s="56"/>
    </row>
    <row r="85" spans="1:16" ht="12.75">
      <c r="A85" s="465"/>
      <c r="B85" s="476"/>
      <c r="C85" s="484" t="s">
        <v>553</v>
      </c>
      <c r="D85" s="485" t="str">
        <f>CONCATENATE(CHOOSE((D63+1),"Can ","Laun ","Auto "),ROUND(D64,0),"/",ROUND(D69,0)," ( /Mag:",ROUND(D64*D65,0)+D89,IF(D67&gt;0,CONCATENATE(" /MFD:",E68),""),IF(D71=0,"",CONCATENATE(" /Ar:",ROUND(VLOOKUP(D71/1.43,Tables!A2:B61,2)*10,0)," [",ROUND(D71,0),"]")),")")</f>
        <v>Can 40/3 ( /Mag:0 /MFD:500,000km)</v>
      </c>
      <c r="E85" s="485"/>
      <c r="F85" s="485"/>
      <c r="G85" s="485"/>
      <c r="H85" s="492"/>
      <c r="I85" s="483"/>
      <c r="J85" s="483"/>
      <c r="K85" s="483"/>
      <c r="L85" s="483"/>
      <c r="M85" s="463"/>
      <c r="N85" s="464"/>
      <c r="O85" s="465"/>
      <c r="P85" s="465"/>
    </row>
    <row r="86" spans="1:16" ht="13.5" thickBot="1">
      <c r="A86" s="465"/>
      <c r="B86" s="476"/>
      <c r="C86" s="264" t="s">
        <v>1135</v>
      </c>
      <c r="D86" s="211" t="str">
        <f>CONCATENATE("(+",VLOOKUP(D70,Tables!$A$164:$B$172,2),") ",D60)</f>
        <v>(+2) Cmd DL 17:11 -6 def. 6G, Long</v>
      </c>
      <c r="E86" s="211"/>
      <c r="F86" s="211"/>
      <c r="G86" s="211"/>
      <c r="H86" s="214"/>
      <c r="I86" s="483"/>
      <c r="J86" s="483"/>
      <c r="K86" s="483"/>
      <c r="L86" s="483"/>
      <c r="M86" s="463"/>
      <c r="N86" s="464"/>
      <c r="O86" s="465"/>
      <c r="P86" s="465"/>
    </row>
    <row r="87" spans="1:16" ht="14.25" thickBot="1" thickTop="1">
      <c r="A87" s="56"/>
      <c r="B87" s="47"/>
      <c r="C87" s="52"/>
      <c r="D87" s="52"/>
      <c r="E87" s="52"/>
      <c r="F87" s="52"/>
      <c r="G87" s="52"/>
      <c r="H87" s="52"/>
      <c r="I87" s="194"/>
      <c r="J87" s="194"/>
      <c r="K87" s="194"/>
      <c r="L87" s="194"/>
      <c r="M87" s="98"/>
      <c r="N87" s="83"/>
      <c r="O87" s="56"/>
      <c r="P87" s="56"/>
    </row>
    <row r="88" spans="1:16" ht="12.75">
      <c r="A88" s="56"/>
      <c r="B88" s="47"/>
      <c r="C88" s="205" t="s">
        <v>1147</v>
      </c>
      <c r="D88" s="212"/>
      <c r="E88" s="52"/>
      <c r="F88" s="52"/>
      <c r="G88" s="52"/>
      <c r="H88" s="52"/>
      <c r="I88" s="194"/>
      <c r="J88" s="194"/>
      <c r="K88" s="194"/>
      <c r="L88" s="194"/>
      <c r="M88" s="98"/>
      <c r="N88" s="83"/>
      <c r="O88" s="56"/>
      <c r="P88" s="56"/>
    </row>
    <row r="89" spans="1:16" ht="12.75">
      <c r="A89" s="56"/>
      <c r="B89" s="47"/>
      <c r="C89" s="264" t="s">
        <v>1203</v>
      </c>
      <c r="D89" s="5">
        <v>0</v>
      </c>
      <c r="E89" s="52"/>
      <c r="F89" s="52"/>
      <c r="G89" s="52"/>
      <c r="H89" s="52"/>
      <c r="I89" s="194"/>
      <c r="J89" s="194"/>
      <c r="K89" s="194"/>
      <c r="L89" s="194"/>
      <c r="M89" s="98"/>
      <c r="N89" s="83"/>
      <c r="O89" s="56"/>
      <c r="P89" s="56"/>
    </row>
    <row r="90" spans="1:16" ht="12.75">
      <c r="A90" s="56"/>
      <c r="B90" s="47"/>
      <c r="C90" s="152"/>
      <c r="D90" s="152"/>
      <c r="E90" s="152"/>
      <c r="F90" s="152"/>
      <c r="G90" s="152"/>
      <c r="H90" s="152"/>
      <c r="I90" s="153"/>
      <c r="J90" s="153"/>
      <c r="K90" s="153"/>
      <c r="L90" s="153"/>
      <c r="M90" s="174"/>
      <c r="N90" s="83"/>
      <c r="O90" s="56"/>
      <c r="P90" s="56"/>
    </row>
    <row r="91" spans="1:16" ht="12.75">
      <c r="A91" s="56"/>
      <c r="B91" s="47"/>
      <c r="C91" s="183" t="s">
        <v>1204</v>
      </c>
      <c r="D91" s="103"/>
      <c r="E91" s="195"/>
      <c r="F91" s="195"/>
      <c r="G91" s="195"/>
      <c r="H91" s="195"/>
      <c r="I91" s="195"/>
      <c r="J91" s="153"/>
      <c r="K91" s="153"/>
      <c r="L91" s="153"/>
      <c r="M91" s="174"/>
      <c r="N91" s="83"/>
      <c r="O91" s="56"/>
      <c r="P91" s="56"/>
    </row>
    <row r="92" spans="1:16" ht="12.75">
      <c r="A92" s="56"/>
      <c r="B92" s="47"/>
      <c r="C92" s="249" t="s">
        <v>1205</v>
      </c>
      <c r="D92" s="112">
        <f>I82+(D89*E9)</f>
        <v>348.36500000000007</v>
      </c>
      <c r="E92" s="195"/>
      <c r="F92" s="195"/>
      <c r="G92" s="195"/>
      <c r="H92" s="195"/>
      <c r="I92" s="195"/>
      <c r="J92" s="153"/>
      <c r="K92" s="153"/>
      <c r="L92" s="153"/>
      <c r="M92" s="174"/>
      <c r="N92" s="83"/>
      <c r="O92" s="56"/>
      <c r="P92" s="56"/>
    </row>
    <row r="93" spans="1:16" ht="12.75">
      <c r="A93" s="56"/>
      <c r="B93" s="47"/>
      <c r="C93" s="177" t="s">
        <v>1206</v>
      </c>
      <c r="D93" s="144">
        <f>J82+(D89*J55)</f>
        <v>344.4</v>
      </c>
      <c r="E93" s="195"/>
      <c r="F93" s="195"/>
      <c r="G93" s="195"/>
      <c r="H93" s="195"/>
      <c r="I93" s="195"/>
      <c r="J93" s="153"/>
      <c r="K93" s="153"/>
      <c r="L93" s="153"/>
      <c r="M93" s="174"/>
      <c r="N93" s="83"/>
      <c r="O93" s="56"/>
      <c r="P93" s="56"/>
    </row>
    <row r="94" spans="1:16" ht="12.75">
      <c r="A94" s="56"/>
      <c r="B94" s="47"/>
      <c r="C94" s="177" t="s">
        <v>1207</v>
      </c>
      <c r="D94" s="144">
        <f>CHOOSE((D72+1),K82,10,16,90,150)</f>
        <v>61.516</v>
      </c>
      <c r="E94" s="195"/>
      <c r="F94" s="195"/>
      <c r="G94" s="195"/>
      <c r="H94" s="195"/>
      <c r="I94" s="195"/>
      <c r="J94" s="153"/>
      <c r="K94" s="153"/>
      <c r="L94" s="153"/>
      <c r="M94" s="174"/>
      <c r="N94" s="83"/>
      <c r="O94" s="56"/>
      <c r="P94" s="56"/>
    </row>
    <row r="95" spans="1:16" ht="12.75">
      <c r="A95" s="56"/>
      <c r="B95" s="47"/>
      <c r="C95" s="177" t="s">
        <v>1208</v>
      </c>
      <c r="D95" s="144">
        <f>L82</f>
        <v>0.335319</v>
      </c>
      <c r="E95" s="195"/>
      <c r="F95" s="195"/>
      <c r="G95" s="195"/>
      <c r="H95" s="195"/>
      <c r="I95" s="195"/>
      <c r="J95" s="153"/>
      <c r="K95" s="153"/>
      <c r="L95" s="153"/>
      <c r="M95" s="174"/>
      <c r="N95" s="83"/>
      <c r="O95" s="56"/>
      <c r="P95" s="56"/>
    </row>
    <row r="96" spans="1:16" ht="12.75">
      <c r="A96" s="56"/>
      <c r="B96" s="47"/>
      <c r="C96" s="177" t="s">
        <v>1209</v>
      </c>
      <c r="D96" s="116">
        <f>M82</f>
        <v>33.431799999999996</v>
      </c>
      <c r="E96" s="195"/>
      <c r="F96" s="195"/>
      <c r="G96" s="195"/>
      <c r="H96" s="195"/>
      <c r="I96" s="195"/>
      <c r="J96" s="153"/>
      <c r="K96" s="153"/>
      <c r="L96" s="153"/>
      <c r="M96" s="174"/>
      <c r="N96" s="83"/>
      <c r="O96" s="56"/>
      <c r="P96" s="56"/>
    </row>
    <row r="97" spans="1:16" ht="12.75">
      <c r="A97" s="56"/>
      <c r="B97" s="47"/>
      <c r="C97" s="179" t="s">
        <v>1210</v>
      </c>
      <c r="D97" s="16">
        <v>1</v>
      </c>
      <c r="E97" s="195"/>
      <c r="F97" s="195"/>
      <c r="G97" s="195"/>
      <c r="H97" s="195"/>
      <c r="I97" s="195"/>
      <c r="J97" s="153"/>
      <c r="K97" s="153"/>
      <c r="L97" s="153"/>
      <c r="M97" s="174"/>
      <c r="N97" s="83"/>
      <c r="O97" s="56"/>
      <c r="P97" s="56"/>
    </row>
    <row r="98" spans="1:16" ht="12.75">
      <c r="A98" s="56"/>
      <c r="B98" s="180"/>
      <c r="C98" s="256"/>
      <c r="D98" s="256"/>
      <c r="E98" s="256"/>
      <c r="F98" s="256"/>
      <c r="G98" s="256"/>
      <c r="H98" s="256"/>
      <c r="I98" s="181"/>
      <c r="J98" s="181"/>
      <c r="K98" s="181"/>
      <c r="L98" s="181"/>
      <c r="M98" s="143"/>
      <c r="N98" s="258"/>
      <c r="O98" s="56"/>
      <c r="P98" s="56"/>
    </row>
    <row r="99" spans="1:16" ht="12.75">
      <c r="A99" s="56"/>
      <c r="B99" s="56"/>
      <c r="C99" s="56"/>
      <c r="D99" s="56"/>
      <c r="E99" s="56"/>
      <c r="F99" s="56"/>
      <c r="G99" s="56"/>
      <c r="H99" s="56"/>
      <c r="I99" s="243"/>
      <c r="J99" s="243"/>
      <c r="K99" s="243"/>
      <c r="L99" s="243"/>
      <c r="M99" s="244"/>
      <c r="N99" s="56"/>
      <c r="O99" s="56"/>
      <c r="P99" s="56"/>
    </row>
    <row r="100" spans="1:16" ht="12.75">
      <c r="A100" s="56"/>
      <c r="B100" s="56"/>
      <c r="C100" s="56"/>
      <c r="D100" s="56"/>
      <c r="E100" s="56"/>
      <c r="F100" s="56"/>
      <c r="G100" s="56"/>
      <c r="H100" s="56"/>
      <c r="I100" s="243"/>
      <c r="J100" s="243"/>
      <c r="K100" s="243"/>
      <c r="L100" s="243"/>
      <c r="M100" s="244"/>
      <c r="N100" s="56"/>
      <c r="O100" s="56"/>
      <c r="P100" s="56"/>
    </row>
    <row r="101" spans="1:16" ht="12.75">
      <c r="A101" s="56"/>
      <c r="B101" s="56"/>
      <c r="C101" s="56"/>
      <c r="D101" s="56"/>
      <c r="E101" s="56"/>
      <c r="F101" s="56"/>
      <c r="G101" s="56"/>
      <c r="H101" s="56"/>
      <c r="I101" s="243"/>
      <c r="J101" s="243"/>
      <c r="K101" s="243"/>
      <c r="L101" s="243"/>
      <c r="M101" s="244"/>
      <c r="N101" s="56"/>
      <c r="O101" s="56"/>
      <c r="P101" s="56"/>
    </row>
    <row r="102" spans="1:16" ht="12.75">
      <c r="A102" s="56"/>
      <c r="B102" s="56"/>
      <c r="C102" s="56"/>
      <c r="D102" s="56"/>
      <c r="E102" s="56"/>
      <c r="F102" s="56"/>
      <c r="G102" s="56"/>
      <c r="H102" s="56"/>
      <c r="I102" s="243"/>
      <c r="J102" s="243"/>
      <c r="K102" s="243"/>
      <c r="L102" s="243"/>
      <c r="M102" s="244"/>
      <c r="N102" s="56"/>
      <c r="O102" s="56"/>
      <c r="P102" s="56"/>
    </row>
    <row r="103" spans="1:16" ht="12.75">
      <c r="A103" s="56"/>
      <c r="B103" s="56"/>
      <c r="C103" s="56"/>
      <c r="D103" s="56"/>
      <c r="E103" s="56"/>
      <c r="F103" s="56"/>
      <c r="G103" s="56"/>
      <c r="H103" s="56"/>
      <c r="I103" s="243"/>
      <c r="J103" s="243"/>
      <c r="K103" s="243"/>
      <c r="L103" s="243"/>
      <c r="M103" s="244"/>
      <c r="N103" s="56"/>
      <c r="O103" s="56"/>
      <c r="P103" s="56"/>
    </row>
    <row r="104" spans="1:16" ht="12.75">
      <c r="A104" s="56"/>
      <c r="B104" s="56"/>
      <c r="C104" s="56"/>
      <c r="D104" s="56"/>
      <c r="E104" s="56"/>
      <c r="F104" s="56"/>
      <c r="G104" s="56"/>
      <c r="H104" s="56"/>
      <c r="I104" s="243"/>
      <c r="J104" s="243"/>
      <c r="K104" s="243"/>
      <c r="L104" s="243"/>
      <c r="M104" s="244"/>
      <c r="N104" s="56"/>
      <c r="O104" s="56"/>
      <c r="P104" s="56"/>
    </row>
    <row r="105" spans="1:16" ht="12.75">
      <c r="A105" s="56"/>
      <c r="B105" s="56"/>
      <c r="C105" s="56"/>
      <c r="D105" s="56"/>
      <c r="E105" s="56"/>
      <c r="F105" s="56"/>
      <c r="G105" s="56"/>
      <c r="H105" s="56"/>
      <c r="I105" s="243"/>
      <c r="J105" s="243"/>
      <c r="K105" s="243"/>
      <c r="L105" s="243"/>
      <c r="M105" s="244"/>
      <c r="N105" s="56"/>
      <c r="O105" s="56"/>
      <c r="P105" s="56"/>
    </row>
    <row r="106" spans="1:16" ht="12.75">
      <c r="A106" s="56"/>
      <c r="B106" s="56"/>
      <c r="C106" s="56"/>
      <c r="D106" s="56"/>
      <c r="E106" s="56"/>
      <c r="F106" s="56"/>
      <c r="G106" s="56"/>
      <c r="H106" s="56"/>
      <c r="I106" s="243"/>
      <c r="J106" s="243"/>
      <c r="K106" s="243"/>
      <c r="L106" s="243"/>
      <c r="M106" s="244"/>
      <c r="N106" s="56"/>
      <c r="O106" s="56"/>
      <c r="P106" s="56"/>
    </row>
    <row r="107" spans="1:16" ht="12.75">
      <c r="A107" s="56"/>
      <c r="B107" s="56"/>
      <c r="C107" s="56"/>
      <c r="D107" s="56"/>
      <c r="E107" s="56"/>
      <c r="F107" s="56"/>
      <c r="G107" s="56"/>
      <c r="H107" s="56"/>
      <c r="I107" s="243"/>
      <c r="J107" s="243"/>
      <c r="K107" s="243"/>
      <c r="L107" s="243"/>
      <c r="M107" s="244"/>
      <c r="N107" s="56"/>
      <c r="O107" s="56"/>
      <c r="P107" s="56"/>
    </row>
    <row r="108" spans="1:16" ht="12.75">
      <c r="A108" s="56"/>
      <c r="B108" s="56"/>
      <c r="C108" s="56"/>
      <c r="D108" s="56"/>
      <c r="E108" s="56"/>
      <c r="F108" s="56"/>
      <c r="G108" s="56"/>
      <c r="H108" s="56"/>
      <c r="I108" s="243"/>
      <c r="J108" s="243"/>
      <c r="K108" s="243"/>
      <c r="L108" s="243"/>
      <c r="M108" s="244"/>
      <c r="N108" s="56"/>
      <c r="O108" s="56"/>
      <c r="P108" s="56"/>
    </row>
    <row r="109" spans="1:16" ht="12.75">
      <c r="A109" s="56"/>
      <c r="B109" s="56"/>
      <c r="C109" s="56"/>
      <c r="D109" s="56"/>
      <c r="E109" s="56"/>
      <c r="F109" s="56"/>
      <c r="G109" s="56"/>
      <c r="H109" s="56"/>
      <c r="I109" s="243"/>
      <c r="J109" s="243"/>
      <c r="K109" s="243"/>
      <c r="L109" s="243"/>
      <c r="M109" s="244"/>
      <c r="N109" s="56"/>
      <c r="O109" s="56"/>
      <c r="P109" s="56"/>
    </row>
    <row r="110" spans="1:16" ht="12.75">
      <c r="A110" s="56"/>
      <c r="B110" s="56"/>
      <c r="C110" s="56"/>
      <c r="D110" s="56"/>
      <c r="E110" s="56"/>
      <c r="F110" s="56"/>
      <c r="G110" s="56"/>
      <c r="H110" s="56"/>
      <c r="I110" s="243"/>
      <c r="J110" s="243"/>
      <c r="K110" s="243"/>
      <c r="L110" s="243"/>
      <c r="M110" s="244"/>
      <c r="N110" s="56"/>
      <c r="O110" s="56"/>
      <c r="P110" s="56"/>
    </row>
    <row r="111" spans="1:16" ht="12.75">
      <c r="A111" s="56"/>
      <c r="B111" s="56"/>
      <c r="C111" s="56"/>
      <c r="D111" s="56"/>
      <c r="E111" s="56"/>
      <c r="F111" s="56"/>
      <c r="G111" s="56"/>
      <c r="H111" s="56"/>
      <c r="I111" s="243"/>
      <c r="J111" s="243"/>
      <c r="K111" s="243"/>
      <c r="L111" s="243"/>
      <c r="M111" s="244"/>
      <c r="N111" s="56"/>
      <c r="O111" s="56"/>
      <c r="P111" s="56"/>
    </row>
    <row r="112" spans="1:16" ht="12.75">
      <c r="A112" s="56"/>
      <c r="B112" s="56"/>
      <c r="C112" s="56"/>
      <c r="D112" s="56"/>
      <c r="E112" s="56"/>
      <c r="F112" s="56"/>
      <c r="G112" s="56"/>
      <c r="H112" s="56"/>
      <c r="I112" s="243"/>
      <c r="J112" s="243"/>
      <c r="K112" s="243"/>
      <c r="L112" s="243"/>
      <c r="M112" s="244"/>
      <c r="N112" s="56"/>
      <c r="O112" s="56"/>
      <c r="P112" s="56"/>
    </row>
    <row r="113" spans="1:16" ht="12.75">
      <c r="A113" s="56"/>
      <c r="B113" s="56"/>
      <c r="C113" s="56"/>
      <c r="D113" s="56"/>
      <c r="E113" s="56"/>
      <c r="F113" s="56"/>
      <c r="G113" s="56"/>
      <c r="H113" s="56"/>
      <c r="I113" s="243"/>
      <c r="J113" s="243"/>
      <c r="K113" s="243"/>
      <c r="L113" s="243"/>
      <c r="M113" s="244"/>
      <c r="N113" s="56"/>
      <c r="O113" s="56"/>
      <c r="P113" s="56"/>
    </row>
    <row r="114" spans="1:16" ht="12.75">
      <c r="A114" s="56"/>
      <c r="B114" s="56"/>
      <c r="C114" s="56"/>
      <c r="D114" s="56"/>
      <c r="E114" s="56"/>
      <c r="F114" s="56"/>
      <c r="G114" s="56"/>
      <c r="H114" s="56"/>
      <c r="I114" s="243"/>
      <c r="J114" s="243"/>
      <c r="K114" s="243"/>
      <c r="L114" s="243"/>
      <c r="M114" s="244"/>
      <c r="N114" s="56"/>
      <c r="O114" s="56"/>
      <c r="P114" s="56"/>
    </row>
    <row r="115" spans="1:16" ht="12.75">
      <c r="A115" s="56"/>
      <c r="B115" s="56"/>
      <c r="C115" s="56"/>
      <c r="D115" s="56"/>
      <c r="E115" s="56"/>
      <c r="F115" s="56"/>
      <c r="G115" s="56"/>
      <c r="H115" s="56"/>
      <c r="I115" s="243"/>
      <c r="J115" s="243"/>
      <c r="K115" s="243"/>
      <c r="L115" s="243"/>
      <c r="M115" s="244"/>
      <c r="N115" s="56"/>
      <c r="O115" s="56"/>
      <c r="P115" s="56"/>
    </row>
    <row r="116" spans="1:16" ht="12.75">
      <c r="A116" s="56"/>
      <c r="B116" s="56"/>
      <c r="C116" s="56"/>
      <c r="D116" s="56"/>
      <c r="E116" s="56"/>
      <c r="F116" s="56"/>
      <c r="G116" s="56"/>
      <c r="H116" s="56"/>
      <c r="I116" s="243"/>
      <c r="J116" s="243"/>
      <c r="K116" s="243"/>
      <c r="L116" s="243"/>
      <c r="M116" s="244"/>
      <c r="N116" s="56"/>
      <c r="O116" s="56"/>
      <c r="P116" s="56"/>
    </row>
    <row r="117" spans="1:16" ht="12.75">
      <c r="A117" s="56"/>
      <c r="B117" s="56"/>
      <c r="C117" s="56"/>
      <c r="D117" s="56"/>
      <c r="E117" s="56"/>
      <c r="F117" s="56"/>
      <c r="G117" s="56"/>
      <c r="H117" s="56"/>
      <c r="I117" s="243"/>
      <c r="J117" s="243"/>
      <c r="K117" s="243"/>
      <c r="L117" s="243"/>
      <c r="M117" s="244"/>
      <c r="N117" s="56"/>
      <c r="O117" s="56"/>
      <c r="P117" s="56"/>
    </row>
    <row r="118" spans="1:16" ht="12.75">
      <c r="A118" s="56"/>
      <c r="B118" s="56"/>
      <c r="C118" s="56"/>
      <c r="D118" s="56"/>
      <c r="E118" s="56"/>
      <c r="F118" s="56"/>
      <c r="G118" s="56"/>
      <c r="H118" s="56"/>
      <c r="I118" s="243"/>
      <c r="J118" s="243"/>
      <c r="K118" s="243"/>
      <c r="L118" s="243"/>
      <c r="M118" s="244"/>
      <c r="N118" s="56"/>
      <c r="O118" s="56"/>
      <c r="P118" s="56"/>
    </row>
    <row r="119" spans="1:16" ht="12.75">
      <c r="A119" s="56"/>
      <c r="B119" s="56"/>
      <c r="C119" s="56"/>
      <c r="D119" s="56"/>
      <c r="E119" s="56"/>
      <c r="F119" s="56"/>
      <c r="G119" s="56"/>
      <c r="H119" s="56"/>
      <c r="I119" s="243"/>
      <c r="J119" s="243"/>
      <c r="K119" s="243"/>
      <c r="L119" s="243"/>
      <c r="M119" s="244"/>
      <c r="N119" s="56"/>
      <c r="O119" s="56"/>
      <c r="P119" s="56"/>
    </row>
    <row r="120" spans="1:16" ht="12.75">
      <c r="A120" s="56"/>
      <c r="B120" s="56"/>
      <c r="C120" s="56"/>
      <c r="D120" s="56"/>
      <c r="E120" s="56"/>
      <c r="F120" s="56"/>
      <c r="G120" s="56"/>
      <c r="H120" s="56"/>
      <c r="I120" s="243"/>
      <c r="J120" s="243"/>
      <c r="K120" s="243"/>
      <c r="L120" s="243"/>
      <c r="M120" s="244"/>
      <c r="N120" s="56"/>
      <c r="O120" s="56"/>
      <c r="P120" s="56"/>
    </row>
    <row r="121" spans="1:16" ht="12.75">
      <c r="A121" s="56"/>
      <c r="B121" s="56"/>
      <c r="C121" s="56"/>
      <c r="D121" s="56"/>
      <c r="E121" s="56"/>
      <c r="F121" s="56"/>
      <c r="G121" s="56"/>
      <c r="H121" s="56"/>
      <c r="I121" s="243"/>
      <c r="J121" s="243"/>
      <c r="K121" s="243"/>
      <c r="L121" s="243"/>
      <c r="M121" s="244"/>
      <c r="N121" s="56"/>
      <c r="O121" s="56"/>
      <c r="P121" s="56"/>
    </row>
    <row r="122" spans="1:16" ht="12.75">
      <c r="A122" s="56"/>
      <c r="B122" s="56"/>
      <c r="C122" s="56"/>
      <c r="D122" s="56"/>
      <c r="E122" s="56"/>
      <c r="F122" s="56"/>
      <c r="G122" s="56"/>
      <c r="H122" s="56"/>
      <c r="I122" s="243"/>
      <c r="J122" s="243"/>
      <c r="K122" s="243"/>
      <c r="L122" s="243"/>
      <c r="M122" s="244"/>
      <c r="N122" s="56"/>
      <c r="O122" s="56"/>
      <c r="P122" s="56"/>
    </row>
    <row r="123" spans="1:16" ht="12.75">
      <c r="A123" s="56"/>
      <c r="B123" s="56"/>
      <c r="C123" s="56"/>
      <c r="D123" s="56"/>
      <c r="E123" s="56"/>
      <c r="F123" s="56"/>
      <c r="G123" s="56"/>
      <c r="H123" s="56"/>
      <c r="I123" s="243"/>
      <c r="J123" s="243"/>
      <c r="K123" s="243"/>
      <c r="L123" s="243"/>
      <c r="M123" s="244"/>
      <c r="N123" s="56"/>
      <c r="O123" s="56"/>
      <c r="P123" s="56"/>
    </row>
    <row r="124" spans="1:16" ht="12.75">
      <c r="A124" s="56"/>
      <c r="B124" s="56"/>
      <c r="C124" s="56"/>
      <c r="D124" s="56"/>
      <c r="E124" s="56"/>
      <c r="F124" s="56"/>
      <c r="G124" s="56"/>
      <c r="H124" s="56"/>
      <c r="I124" s="243"/>
      <c r="J124" s="243"/>
      <c r="K124" s="243"/>
      <c r="L124" s="243"/>
      <c r="M124" s="244"/>
      <c r="N124" s="56"/>
      <c r="O124" s="56"/>
      <c r="P124" s="56"/>
    </row>
    <row r="125" spans="1:16" ht="12.75">
      <c r="A125" s="56"/>
      <c r="B125" s="56"/>
      <c r="C125" s="56"/>
      <c r="D125" s="56"/>
      <c r="E125" s="56"/>
      <c r="F125" s="56"/>
      <c r="G125" s="56"/>
      <c r="H125" s="56"/>
      <c r="I125" s="243"/>
      <c r="J125" s="243"/>
      <c r="K125" s="243"/>
      <c r="L125" s="243"/>
      <c r="M125" s="244"/>
      <c r="N125" s="56"/>
      <c r="O125" s="56"/>
      <c r="P125" s="56"/>
    </row>
    <row r="126" spans="1:16" ht="12.75">
      <c r="A126" s="56"/>
      <c r="B126" s="56"/>
      <c r="C126" s="56"/>
      <c r="D126" s="56"/>
      <c r="E126" s="56"/>
      <c r="F126" s="56"/>
      <c r="G126" s="56"/>
      <c r="H126" s="56"/>
      <c r="I126" s="243"/>
      <c r="J126" s="243"/>
      <c r="K126" s="243"/>
      <c r="L126" s="243"/>
      <c r="M126" s="244"/>
      <c r="N126" s="56"/>
      <c r="O126" s="56"/>
      <c r="P126" s="56"/>
    </row>
    <row r="127" spans="1:16" ht="12.75">
      <c r="A127" s="56"/>
      <c r="B127" s="56"/>
      <c r="C127" s="56"/>
      <c r="D127" s="56"/>
      <c r="E127" s="56"/>
      <c r="F127" s="56"/>
      <c r="G127" s="56"/>
      <c r="H127" s="56"/>
      <c r="I127" s="243"/>
      <c r="J127" s="243"/>
      <c r="K127" s="243"/>
      <c r="L127" s="243"/>
      <c r="M127" s="244"/>
      <c r="N127" s="56"/>
      <c r="O127" s="56"/>
      <c r="P127" s="56"/>
    </row>
    <row r="128" spans="1:16" ht="12.75">
      <c r="A128" s="56"/>
      <c r="B128" s="56"/>
      <c r="C128" s="56"/>
      <c r="D128" s="56"/>
      <c r="E128" s="56"/>
      <c r="F128" s="56"/>
      <c r="G128" s="56"/>
      <c r="H128" s="56"/>
      <c r="I128" s="243"/>
      <c r="J128" s="243"/>
      <c r="K128" s="243"/>
      <c r="L128" s="243"/>
      <c r="M128" s="244"/>
      <c r="N128" s="56"/>
      <c r="O128" s="56"/>
      <c r="P128" s="56"/>
    </row>
    <row r="129" spans="1:16" ht="12.75">
      <c r="A129" s="56"/>
      <c r="B129" s="56"/>
      <c r="C129" s="56"/>
      <c r="D129" s="56"/>
      <c r="E129" s="56"/>
      <c r="F129" s="56"/>
      <c r="G129" s="56"/>
      <c r="H129" s="56"/>
      <c r="I129" s="243"/>
      <c r="J129" s="243"/>
      <c r="K129" s="243"/>
      <c r="L129" s="243"/>
      <c r="M129" s="244"/>
      <c r="N129" s="56"/>
      <c r="O129" s="56"/>
      <c r="P129" s="56"/>
    </row>
    <row r="130" spans="1:16" ht="12.75">
      <c r="A130" s="56"/>
      <c r="B130" s="56"/>
      <c r="C130" s="56"/>
      <c r="D130" s="56"/>
      <c r="E130" s="56"/>
      <c r="F130" s="56"/>
      <c r="G130" s="56"/>
      <c r="H130" s="56"/>
      <c r="I130" s="243"/>
      <c r="J130" s="243"/>
      <c r="K130" s="243"/>
      <c r="L130" s="243"/>
      <c r="M130" s="244"/>
      <c r="N130" s="56"/>
      <c r="O130" s="56"/>
      <c r="P130" s="56"/>
    </row>
    <row r="131" spans="1:16" ht="12.75">
      <c r="A131" s="56"/>
      <c r="B131" s="56"/>
      <c r="C131" s="56"/>
      <c r="D131" s="56"/>
      <c r="E131" s="56"/>
      <c r="F131" s="56"/>
      <c r="G131" s="56"/>
      <c r="H131" s="56"/>
      <c r="I131" s="243"/>
      <c r="J131" s="243"/>
      <c r="K131" s="243"/>
      <c r="L131" s="243"/>
      <c r="M131" s="244"/>
      <c r="N131" s="56"/>
      <c r="O131" s="56"/>
      <c r="P131" s="56"/>
    </row>
    <row r="132" spans="1:16" ht="12.75">
      <c r="A132" s="56"/>
      <c r="B132" s="56"/>
      <c r="C132" s="56"/>
      <c r="D132" s="56"/>
      <c r="E132" s="56"/>
      <c r="F132" s="56"/>
      <c r="G132" s="56"/>
      <c r="H132" s="56"/>
      <c r="I132" s="243"/>
      <c r="J132" s="243"/>
      <c r="K132" s="243"/>
      <c r="L132" s="243"/>
      <c r="M132" s="244"/>
      <c r="N132" s="56"/>
      <c r="O132" s="56"/>
      <c r="P132" s="56"/>
    </row>
    <row r="133" spans="1:16" ht="12.75">
      <c r="A133" s="56"/>
      <c r="B133" s="56"/>
      <c r="C133" s="56"/>
      <c r="D133" s="56"/>
      <c r="E133" s="56"/>
      <c r="F133" s="56"/>
      <c r="G133" s="56"/>
      <c r="H133" s="56"/>
      <c r="I133" s="243"/>
      <c r="J133" s="243"/>
      <c r="K133" s="243"/>
      <c r="L133" s="243"/>
      <c r="M133" s="244"/>
      <c r="N133" s="56"/>
      <c r="O133" s="56"/>
      <c r="P133" s="56"/>
    </row>
    <row r="134" spans="1:16" ht="12.75">
      <c r="A134" s="56"/>
      <c r="B134" s="56"/>
      <c r="C134" s="56"/>
      <c r="D134" s="56"/>
      <c r="E134" s="56"/>
      <c r="F134" s="56"/>
      <c r="G134" s="56"/>
      <c r="H134" s="56"/>
      <c r="I134" s="243"/>
      <c r="J134" s="243"/>
      <c r="K134" s="243"/>
      <c r="L134" s="243"/>
      <c r="M134" s="244"/>
      <c r="N134" s="56"/>
      <c r="O134" s="56"/>
      <c r="P134" s="56"/>
    </row>
    <row r="135" spans="1:16" ht="12.75">
      <c r="A135" s="56"/>
      <c r="B135" s="56"/>
      <c r="C135" s="56"/>
      <c r="D135" s="56"/>
      <c r="E135" s="56"/>
      <c r="F135" s="56"/>
      <c r="G135" s="56"/>
      <c r="H135" s="56"/>
      <c r="I135" s="243"/>
      <c r="J135" s="243"/>
      <c r="K135" s="243"/>
      <c r="L135" s="243"/>
      <c r="M135" s="244"/>
      <c r="N135" s="56"/>
      <c r="O135" s="56"/>
      <c r="P135" s="56"/>
    </row>
    <row r="136" spans="1:16" ht="12.75">
      <c r="A136" s="56"/>
      <c r="B136" s="56"/>
      <c r="C136" s="56"/>
      <c r="D136" s="56"/>
      <c r="E136" s="56"/>
      <c r="F136" s="56"/>
      <c r="G136" s="56"/>
      <c r="H136" s="56"/>
      <c r="I136" s="243"/>
      <c r="J136" s="243"/>
      <c r="K136" s="243"/>
      <c r="L136" s="243"/>
      <c r="M136" s="244"/>
      <c r="N136" s="56"/>
      <c r="O136" s="56"/>
      <c r="P136" s="56"/>
    </row>
    <row r="137" spans="1:16" ht="12.75">
      <c r="A137" s="56"/>
      <c r="B137" s="56"/>
      <c r="C137" s="56"/>
      <c r="D137" s="56"/>
      <c r="E137" s="56"/>
      <c r="F137" s="56"/>
      <c r="G137" s="56"/>
      <c r="H137" s="56"/>
      <c r="I137" s="243"/>
      <c r="J137" s="243"/>
      <c r="K137" s="243"/>
      <c r="L137" s="243"/>
      <c r="M137" s="244"/>
      <c r="N137" s="56"/>
      <c r="O137" s="56"/>
      <c r="P137" s="56"/>
    </row>
    <row r="138" spans="1:16" ht="12.75">
      <c r="A138" s="56"/>
      <c r="B138" s="56"/>
      <c r="C138" s="56"/>
      <c r="D138" s="56"/>
      <c r="E138" s="56"/>
      <c r="F138" s="56"/>
      <c r="G138" s="56"/>
      <c r="H138" s="56"/>
      <c r="I138" s="243"/>
      <c r="J138" s="243"/>
      <c r="K138" s="243"/>
      <c r="L138" s="243"/>
      <c r="M138" s="244"/>
      <c r="N138" s="56"/>
      <c r="O138" s="56"/>
      <c r="P138" s="56"/>
    </row>
    <row r="139" spans="1:16" ht="12.75">
      <c r="A139" s="56"/>
      <c r="B139" s="56"/>
      <c r="C139" s="56"/>
      <c r="D139" s="56"/>
      <c r="E139" s="56"/>
      <c r="F139" s="56"/>
      <c r="G139" s="56"/>
      <c r="H139" s="56"/>
      <c r="I139" s="243"/>
      <c r="J139" s="243"/>
      <c r="K139" s="243"/>
      <c r="L139" s="243"/>
      <c r="M139" s="244"/>
      <c r="N139" s="56"/>
      <c r="O139" s="56"/>
      <c r="P139" s="56"/>
    </row>
    <row r="140" spans="1:16" ht="12.75">
      <c r="A140" s="56"/>
      <c r="B140" s="56"/>
      <c r="C140" s="56"/>
      <c r="D140" s="56"/>
      <c r="E140" s="56"/>
      <c r="F140" s="56"/>
      <c r="G140" s="56"/>
      <c r="H140" s="56"/>
      <c r="I140" s="243"/>
      <c r="J140" s="243"/>
      <c r="K140" s="243"/>
      <c r="L140" s="243"/>
      <c r="M140" s="244"/>
      <c r="N140" s="56"/>
      <c r="O140" s="56"/>
      <c r="P140" s="56"/>
    </row>
    <row r="141" spans="1:16" ht="12.75">
      <c r="A141" s="56"/>
      <c r="B141" s="56"/>
      <c r="C141" s="56"/>
      <c r="D141" s="56"/>
      <c r="E141" s="56"/>
      <c r="F141" s="56"/>
      <c r="G141" s="56"/>
      <c r="H141" s="56"/>
      <c r="I141" s="243"/>
      <c r="J141" s="243"/>
      <c r="K141" s="243"/>
      <c r="L141" s="243"/>
      <c r="M141" s="244"/>
      <c r="N141" s="56"/>
      <c r="O141" s="56"/>
      <c r="P141" s="56"/>
    </row>
    <row r="142" spans="1:16" ht="12.75">
      <c r="A142" s="56"/>
      <c r="B142" s="56"/>
      <c r="C142" s="56"/>
      <c r="D142" s="56"/>
      <c r="E142" s="56"/>
      <c r="F142" s="56"/>
      <c r="G142" s="56"/>
      <c r="H142" s="56"/>
      <c r="I142" s="243"/>
      <c r="J142" s="243"/>
      <c r="K142" s="243"/>
      <c r="L142" s="243"/>
      <c r="M142" s="244"/>
      <c r="N142" s="56"/>
      <c r="O142" s="56"/>
      <c r="P142" s="56"/>
    </row>
    <row r="143" spans="1:16" ht="12.75">
      <c r="A143" s="56"/>
      <c r="B143" s="56"/>
      <c r="C143" s="56"/>
      <c r="D143" s="56"/>
      <c r="E143" s="56"/>
      <c r="F143" s="56"/>
      <c r="G143" s="56"/>
      <c r="H143" s="56"/>
      <c r="I143" s="243"/>
      <c r="J143" s="243"/>
      <c r="K143" s="243"/>
      <c r="L143" s="243"/>
      <c r="M143" s="244"/>
      <c r="N143" s="56"/>
      <c r="O143" s="56"/>
      <c r="P143" s="56"/>
    </row>
    <row r="144" spans="1:16" ht="12.75">
      <c r="A144" s="56"/>
      <c r="B144" s="56"/>
      <c r="C144" s="56"/>
      <c r="D144" s="56"/>
      <c r="E144" s="56"/>
      <c r="F144" s="56"/>
      <c r="G144" s="56"/>
      <c r="H144" s="56"/>
      <c r="I144" s="243"/>
      <c r="J144" s="243"/>
      <c r="K144" s="243"/>
      <c r="L144" s="243"/>
      <c r="M144" s="244"/>
      <c r="N144" s="56"/>
      <c r="O144" s="56"/>
      <c r="P144" s="56"/>
    </row>
    <row r="145" spans="1:16" ht="12.75">
      <c r="A145" s="56"/>
      <c r="B145" s="56"/>
      <c r="C145" s="56"/>
      <c r="D145" s="56"/>
      <c r="E145" s="56"/>
      <c r="F145" s="56"/>
      <c r="G145" s="56"/>
      <c r="H145" s="56"/>
      <c r="I145" s="243"/>
      <c r="J145" s="243"/>
      <c r="K145" s="243"/>
      <c r="L145" s="243"/>
      <c r="M145" s="244"/>
      <c r="N145" s="56"/>
      <c r="O145" s="56"/>
      <c r="P145" s="56"/>
    </row>
    <row r="146" spans="1:16" ht="12.75">
      <c r="A146" s="56"/>
      <c r="B146" s="56"/>
      <c r="C146" s="56"/>
      <c r="D146" s="56"/>
      <c r="E146" s="56"/>
      <c r="F146" s="56"/>
      <c r="G146" s="56"/>
      <c r="H146" s="56"/>
      <c r="I146" s="243"/>
      <c r="J146" s="243"/>
      <c r="K146" s="243"/>
      <c r="L146" s="243"/>
      <c r="M146" s="244"/>
      <c r="N146" s="56"/>
      <c r="O146" s="56"/>
      <c r="P146" s="56"/>
    </row>
    <row r="147" spans="1:16" ht="12.75">
      <c r="A147" s="56"/>
      <c r="B147" s="56"/>
      <c r="C147" s="56"/>
      <c r="D147" s="56"/>
      <c r="E147" s="56"/>
      <c r="F147" s="56"/>
      <c r="G147" s="56"/>
      <c r="H147" s="56"/>
      <c r="I147" s="243"/>
      <c r="J147" s="243"/>
      <c r="K147" s="243"/>
      <c r="L147" s="243"/>
      <c r="M147" s="244"/>
      <c r="N147" s="56"/>
      <c r="O147" s="56"/>
      <c r="P147" s="56"/>
    </row>
    <row r="148" spans="1:16" ht="12.75">
      <c r="A148" s="56"/>
      <c r="B148" s="56"/>
      <c r="C148" s="56"/>
      <c r="D148" s="56"/>
      <c r="E148" s="56"/>
      <c r="F148" s="56"/>
      <c r="G148" s="56"/>
      <c r="H148" s="56"/>
      <c r="I148" s="243"/>
      <c r="J148" s="243"/>
      <c r="K148" s="243"/>
      <c r="L148" s="243"/>
      <c r="M148" s="244"/>
      <c r="N148" s="56"/>
      <c r="O148" s="56"/>
      <c r="P148" s="56"/>
    </row>
    <row r="149" spans="1:16" ht="12.75">
      <c r="A149" s="56"/>
      <c r="B149" s="56"/>
      <c r="C149" s="56"/>
      <c r="D149" s="56"/>
      <c r="E149" s="56"/>
      <c r="F149" s="56"/>
      <c r="G149" s="56"/>
      <c r="H149" s="56"/>
      <c r="I149" s="243"/>
      <c r="J149" s="243"/>
      <c r="K149" s="243"/>
      <c r="L149" s="243"/>
      <c r="M149" s="244"/>
      <c r="N149" s="56"/>
      <c r="O149" s="56"/>
      <c r="P149" s="56"/>
    </row>
    <row r="150" spans="1:16" ht="12.75">
      <c r="A150" s="56"/>
      <c r="B150" s="56"/>
      <c r="C150" s="56"/>
      <c r="D150" s="56"/>
      <c r="E150" s="56"/>
      <c r="F150" s="56"/>
      <c r="G150" s="56"/>
      <c r="H150" s="56"/>
      <c r="I150" s="243"/>
      <c r="J150" s="243"/>
      <c r="K150" s="243"/>
      <c r="L150" s="243"/>
      <c r="M150" s="244"/>
      <c r="N150" s="56"/>
      <c r="O150" s="56"/>
      <c r="P150" s="56"/>
    </row>
    <row r="151" spans="1:16" ht="12.75">
      <c r="A151" s="56"/>
      <c r="B151" s="56"/>
      <c r="C151" s="56"/>
      <c r="D151" s="56"/>
      <c r="E151" s="56"/>
      <c r="F151" s="56"/>
      <c r="G151" s="56"/>
      <c r="H151" s="56"/>
      <c r="I151" s="243"/>
      <c r="J151" s="243"/>
      <c r="K151" s="243"/>
      <c r="L151" s="243"/>
      <c r="M151" s="244"/>
      <c r="N151" s="56"/>
      <c r="O151" s="56"/>
      <c r="P151" s="56"/>
    </row>
    <row r="152" spans="1:16" ht="12.75">
      <c r="A152" s="56"/>
      <c r="B152" s="56"/>
      <c r="C152" s="56"/>
      <c r="D152" s="56"/>
      <c r="E152" s="56"/>
      <c r="F152" s="56"/>
      <c r="G152" s="56"/>
      <c r="H152" s="56"/>
      <c r="I152" s="243"/>
      <c r="J152" s="243"/>
      <c r="K152" s="243"/>
      <c r="L152" s="243"/>
      <c r="M152" s="244"/>
      <c r="N152" s="56"/>
      <c r="O152" s="56"/>
      <c r="P152" s="56"/>
    </row>
    <row r="153" spans="1:16" ht="12.75">
      <c r="A153" s="56"/>
      <c r="B153" s="56"/>
      <c r="C153" s="56"/>
      <c r="D153" s="56"/>
      <c r="E153" s="56"/>
      <c r="F153" s="56"/>
      <c r="G153" s="56"/>
      <c r="H153" s="56"/>
      <c r="I153" s="243"/>
      <c r="J153" s="243"/>
      <c r="K153" s="243"/>
      <c r="L153" s="243"/>
      <c r="M153" s="244"/>
      <c r="N153" s="56"/>
      <c r="O153" s="56"/>
      <c r="P153" s="56"/>
    </row>
    <row r="154" spans="1:16" ht="12.75">
      <c r="A154" s="56"/>
      <c r="B154" s="56"/>
      <c r="C154" s="56"/>
      <c r="D154" s="56"/>
      <c r="E154" s="56"/>
      <c r="F154" s="56"/>
      <c r="G154" s="56"/>
      <c r="H154" s="56"/>
      <c r="I154" s="243"/>
      <c r="J154" s="243"/>
      <c r="K154" s="243"/>
      <c r="L154" s="243"/>
      <c r="M154" s="244"/>
      <c r="N154" s="56"/>
      <c r="O154" s="56"/>
      <c r="P154" s="56"/>
    </row>
    <row r="155" spans="1:16" ht="12.75">
      <c r="A155" s="56"/>
      <c r="B155" s="56"/>
      <c r="C155" s="56"/>
      <c r="D155" s="56"/>
      <c r="E155" s="56"/>
      <c r="F155" s="56"/>
      <c r="G155" s="56"/>
      <c r="H155" s="56"/>
      <c r="I155" s="243"/>
      <c r="J155" s="243"/>
      <c r="K155" s="243"/>
      <c r="L155" s="243"/>
      <c r="M155" s="244"/>
      <c r="N155" s="56"/>
      <c r="O155" s="56"/>
      <c r="P155" s="56"/>
    </row>
    <row r="156" spans="1:16" ht="12.75">
      <c r="A156" s="56"/>
      <c r="B156" s="56"/>
      <c r="C156" s="56"/>
      <c r="D156" s="56"/>
      <c r="E156" s="56"/>
      <c r="F156" s="56"/>
      <c r="G156" s="56"/>
      <c r="H156" s="56"/>
      <c r="I156" s="243"/>
      <c r="J156" s="243"/>
      <c r="K156" s="243"/>
      <c r="L156" s="243"/>
      <c r="M156" s="244"/>
      <c r="N156" s="56"/>
      <c r="O156" s="56"/>
      <c r="P156" s="56"/>
    </row>
    <row r="157" spans="1:16" ht="12.75">
      <c r="A157" s="56"/>
      <c r="B157" s="56"/>
      <c r="C157" s="56"/>
      <c r="D157" s="56"/>
      <c r="E157" s="56"/>
      <c r="F157" s="56"/>
      <c r="G157" s="56"/>
      <c r="H157" s="56"/>
      <c r="I157" s="243"/>
      <c r="J157" s="243"/>
      <c r="K157" s="243"/>
      <c r="L157" s="243"/>
      <c r="M157" s="244"/>
      <c r="N157" s="56"/>
      <c r="O157" s="56"/>
      <c r="P157" s="56"/>
    </row>
    <row r="158" spans="1:16" ht="12.75">
      <c r="A158" s="56"/>
      <c r="B158" s="56"/>
      <c r="C158" s="56"/>
      <c r="D158" s="56"/>
      <c r="E158" s="56"/>
      <c r="F158" s="56"/>
      <c r="G158" s="56"/>
      <c r="H158" s="56"/>
      <c r="I158" s="243"/>
      <c r="J158" s="243"/>
      <c r="K158" s="243"/>
      <c r="L158" s="243"/>
      <c r="M158" s="244"/>
      <c r="N158" s="56"/>
      <c r="O158" s="56"/>
      <c r="P158" s="56"/>
    </row>
    <row r="159" spans="1:16" ht="12.75">
      <c r="A159" s="56"/>
      <c r="B159" s="56"/>
      <c r="C159" s="56"/>
      <c r="D159" s="56"/>
      <c r="E159" s="56"/>
      <c r="F159" s="56"/>
      <c r="G159" s="56"/>
      <c r="H159" s="56"/>
      <c r="I159" s="243"/>
      <c r="J159" s="243"/>
      <c r="K159" s="243"/>
      <c r="L159" s="243"/>
      <c r="M159" s="244"/>
      <c r="N159" s="56"/>
      <c r="O159" s="56"/>
      <c r="P159" s="56"/>
    </row>
    <row r="160" spans="1:16" ht="12.75">
      <c r="A160" s="56"/>
      <c r="B160" s="56"/>
      <c r="C160" s="56"/>
      <c r="D160" s="56"/>
      <c r="E160" s="56"/>
      <c r="F160" s="56"/>
      <c r="G160" s="56"/>
      <c r="H160" s="56"/>
      <c r="I160" s="243"/>
      <c r="J160" s="243"/>
      <c r="K160" s="243"/>
      <c r="L160" s="243"/>
      <c r="M160" s="244"/>
      <c r="N160" s="56"/>
      <c r="O160" s="56"/>
      <c r="P160" s="56"/>
    </row>
    <row r="161" spans="1:16" ht="12.75">
      <c r="A161" s="56"/>
      <c r="B161" s="56"/>
      <c r="C161" s="56"/>
      <c r="D161" s="56"/>
      <c r="E161" s="56"/>
      <c r="F161" s="56"/>
      <c r="G161" s="56"/>
      <c r="H161" s="56"/>
      <c r="I161" s="243"/>
      <c r="J161" s="243"/>
      <c r="K161" s="243"/>
      <c r="L161" s="243"/>
      <c r="M161" s="244"/>
      <c r="N161" s="56"/>
      <c r="O161" s="56"/>
      <c r="P161" s="56"/>
    </row>
    <row r="162" spans="1:16" ht="12.75">
      <c r="A162" s="56"/>
      <c r="B162" s="56"/>
      <c r="C162" s="56"/>
      <c r="D162" s="56"/>
      <c r="E162" s="56"/>
      <c r="F162" s="56"/>
      <c r="G162" s="56"/>
      <c r="H162" s="56"/>
      <c r="I162" s="243"/>
      <c r="J162" s="243"/>
      <c r="K162" s="243"/>
      <c r="L162" s="243"/>
      <c r="M162" s="244"/>
      <c r="N162" s="56"/>
      <c r="O162" s="56"/>
      <c r="P162" s="56"/>
    </row>
    <row r="163" spans="1:16" ht="12.75">
      <c r="A163" s="56"/>
      <c r="B163" s="56"/>
      <c r="C163" s="56"/>
      <c r="D163" s="56"/>
      <c r="E163" s="56"/>
      <c r="F163" s="56"/>
      <c r="G163" s="56"/>
      <c r="H163" s="56"/>
      <c r="I163" s="243"/>
      <c r="J163" s="243"/>
      <c r="K163" s="243"/>
      <c r="L163" s="243"/>
      <c r="M163" s="244"/>
      <c r="N163" s="56"/>
      <c r="O163" s="56"/>
      <c r="P163" s="56"/>
    </row>
    <row r="164" spans="1:16" ht="12.75">
      <c r="A164" s="56"/>
      <c r="B164" s="56"/>
      <c r="C164" s="56"/>
      <c r="D164" s="56"/>
      <c r="E164" s="56"/>
      <c r="F164" s="56"/>
      <c r="G164" s="56"/>
      <c r="H164" s="56"/>
      <c r="I164" s="243"/>
      <c r="J164" s="243"/>
      <c r="K164" s="243"/>
      <c r="L164" s="243"/>
      <c r="M164" s="244"/>
      <c r="N164" s="56"/>
      <c r="O164" s="56"/>
      <c r="P164" s="56"/>
    </row>
    <row r="165" spans="1:16" ht="12.75">
      <c r="A165" s="56"/>
      <c r="B165" s="56"/>
      <c r="C165" s="56"/>
      <c r="D165" s="56"/>
      <c r="E165" s="56"/>
      <c r="F165" s="56"/>
      <c r="G165" s="56"/>
      <c r="H165" s="56"/>
      <c r="I165" s="243"/>
      <c r="J165" s="243"/>
      <c r="K165" s="243"/>
      <c r="L165" s="243"/>
      <c r="M165" s="244"/>
      <c r="N165" s="56"/>
      <c r="O165" s="56"/>
      <c r="P165" s="56"/>
    </row>
    <row r="166" spans="1:16" ht="12.75">
      <c r="A166" s="56"/>
      <c r="B166" s="56"/>
      <c r="C166" s="56"/>
      <c r="D166" s="56"/>
      <c r="E166" s="56"/>
      <c r="F166" s="56"/>
      <c r="G166" s="56"/>
      <c r="H166" s="56"/>
      <c r="I166" s="243"/>
      <c r="J166" s="243"/>
      <c r="K166" s="243"/>
      <c r="L166" s="243"/>
      <c r="M166" s="244"/>
      <c r="N166" s="56"/>
      <c r="O166" s="56"/>
      <c r="P166" s="56"/>
    </row>
    <row r="167" spans="1:16" ht="12.75">
      <c r="A167" s="56"/>
      <c r="B167" s="56"/>
      <c r="C167" s="56"/>
      <c r="D167" s="56"/>
      <c r="E167" s="56"/>
      <c r="F167" s="56"/>
      <c r="G167" s="56"/>
      <c r="H167" s="56"/>
      <c r="I167" s="243"/>
      <c r="J167" s="243"/>
      <c r="K167" s="243"/>
      <c r="L167" s="243"/>
      <c r="M167" s="244"/>
      <c r="N167" s="56"/>
      <c r="O167" s="56"/>
      <c r="P167" s="56"/>
    </row>
    <row r="168" spans="1:16" ht="12.75">
      <c r="A168" s="56"/>
      <c r="B168" s="56"/>
      <c r="C168" s="56"/>
      <c r="D168" s="56"/>
      <c r="E168" s="56"/>
      <c r="F168" s="56"/>
      <c r="G168" s="56"/>
      <c r="H168" s="56"/>
      <c r="I168" s="243"/>
      <c r="J168" s="243"/>
      <c r="K168" s="243"/>
      <c r="L168" s="243"/>
      <c r="M168" s="244"/>
      <c r="N168" s="56"/>
      <c r="O168" s="56"/>
      <c r="P168" s="56"/>
    </row>
    <row r="169" spans="1:16" ht="12.75">
      <c r="A169" s="56"/>
      <c r="B169" s="56"/>
      <c r="C169" s="56"/>
      <c r="D169" s="56"/>
      <c r="E169" s="56"/>
      <c r="F169" s="56"/>
      <c r="G169" s="56"/>
      <c r="H169" s="56"/>
      <c r="I169" s="243"/>
      <c r="J169" s="243"/>
      <c r="K169" s="243"/>
      <c r="L169" s="243"/>
      <c r="M169" s="244"/>
      <c r="N169" s="56"/>
      <c r="O169" s="56"/>
      <c r="P169" s="56"/>
    </row>
    <row r="170" spans="1:16" ht="12.75">
      <c r="A170" s="56"/>
      <c r="B170" s="56"/>
      <c r="C170" s="56"/>
      <c r="D170" s="56"/>
      <c r="E170" s="56"/>
      <c r="F170" s="56"/>
      <c r="G170" s="56"/>
      <c r="H170" s="56"/>
      <c r="I170" s="243"/>
      <c r="J170" s="243"/>
      <c r="K170" s="243"/>
      <c r="L170" s="243"/>
      <c r="M170" s="244"/>
      <c r="N170" s="56"/>
      <c r="O170" s="56"/>
      <c r="P170" s="56"/>
    </row>
    <row r="171" spans="1:16" ht="12.75">
      <c r="A171" s="56"/>
      <c r="B171" s="56"/>
      <c r="C171" s="56"/>
      <c r="D171" s="56"/>
      <c r="E171" s="56"/>
      <c r="F171" s="56"/>
      <c r="G171" s="56"/>
      <c r="H171" s="56"/>
      <c r="I171" s="243"/>
      <c r="J171" s="243"/>
      <c r="K171" s="243"/>
      <c r="L171" s="243"/>
      <c r="M171" s="244"/>
      <c r="N171" s="56"/>
      <c r="O171" s="56"/>
      <c r="P171" s="56"/>
    </row>
    <row r="172" spans="1:16" ht="12.75">
      <c r="A172" s="56"/>
      <c r="B172" s="56"/>
      <c r="C172" s="56"/>
      <c r="D172" s="56"/>
      <c r="E172" s="56"/>
      <c r="F172" s="56"/>
      <c r="G172" s="56"/>
      <c r="H172" s="56"/>
      <c r="I172" s="243"/>
      <c r="J172" s="243"/>
      <c r="K172" s="243"/>
      <c r="L172" s="243"/>
      <c r="M172" s="244"/>
      <c r="N172" s="56"/>
      <c r="O172" s="56"/>
      <c r="P172" s="56"/>
    </row>
    <row r="173" spans="1:16" ht="12.75">
      <c r="A173" s="56"/>
      <c r="B173" s="56"/>
      <c r="C173" s="56"/>
      <c r="D173" s="56"/>
      <c r="E173" s="56"/>
      <c r="F173" s="56"/>
      <c r="G173" s="56"/>
      <c r="H173" s="56"/>
      <c r="I173" s="243"/>
      <c r="J173" s="243"/>
      <c r="K173" s="243"/>
      <c r="L173" s="243"/>
      <c r="M173" s="244"/>
      <c r="N173" s="56"/>
      <c r="O173" s="56"/>
      <c r="P173" s="56"/>
    </row>
    <row r="174" spans="1:16" ht="12.75">
      <c r="A174" s="56"/>
      <c r="B174" s="56"/>
      <c r="C174" s="56"/>
      <c r="D174" s="56"/>
      <c r="E174" s="56"/>
      <c r="F174" s="56"/>
      <c r="G174" s="56"/>
      <c r="H174" s="56"/>
      <c r="I174" s="243"/>
      <c r="J174" s="243"/>
      <c r="K174" s="243"/>
      <c r="L174" s="243"/>
      <c r="M174" s="244"/>
      <c r="N174" s="56"/>
      <c r="O174" s="56"/>
      <c r="P174" s="56"/>
    </row>
    <row r="175" spans="1:16" ht="12.75">
      <c r="A175" s="56"/>
      <c r="B175" s="56"/>
      <c r="C175" s="56"/>
      <c r="D175" s="56"/>
      <c r="E175" s="56"/>
      <c r="F175" s="56"/>
      <c r="G175" s="56"/>
      <c r="H175" s="56"/>
      <c r="I175" s="243"/>
      <c r="J175" s="243"/>
      <c r="K175" s="243"/>
      <c r="L175" s="243"/>
      <c r="M175" s="244"/>
      <c r="N175" s="56"/>
      <c r="O175" s="56"/>
      <c r="P175" s="56"/>
    </row>
    <row r="176" spans="1:16" ht="12.75">
      <c r="A176" s="56"/>
      <c r="B176" s="56"/>
      <c r="C176" s="56"/>
      <c r="D176" s="56"/>
      <c r="E176" s="56"/>
      <c r="F176" s="56"/>
      <c r="G176" s="56"/>
      <c r="H176" s="56"/>
      <c r="I176" s="243"/>
      <c r="J176" s="243"/>
      <c r="K176" s="243"/>
      <c r="L176" s="243"/>
      <c r="M176" s="244"/>
      <c r="N176" s="56"/>
      <c r="O176" s="56"/>
      <c r="P176" s="56"/>
    </row>
    <row r="177" spans="1:16" ht="12.75">
      <c r="A177" s="56"/>
      <c r="B177" s="56"/>
      <c r="C177" s="56"/>
      <c r="D177" s="56"/>
      <c r="E177" s="56"/>
      <c r="F177" s="56"/>
      <c r="G177" s="56"/>
      <c r="H177" s="56"/>
      <c r="I177" s="243"/>
      <c r="J177" s="243"/>
      <c r="K177" s="243"/>
      <c r="L177" s="243"/>
      <c r="M177" s="244"/>
      <c r="N177" s="56"/>
      <c r="O177" s="56"/>
      <c r="P177" s="56"/>
    </row>
    <row r="178" spans="1:16" ht="12.75">
      <c r="A178" s="56"/>
      <c r="B178" s="56"/>
      <c r="C178" s="56"/>
      <c r="D178" s="56"/>
      <c r="E178" s="56"/>
      <c r="F178" s="56"/>
      <c r="G178" s="56"/>
      <c r="H178" s="56"/>
      <c r="I178" s="243"/>
      <c r="J178" s="243"/>
      <c r="K178" s="243"/>
      <c r="L178" s="243"/>
      <c r="M178" s="244"/>
      <c r="N178" s="56"/>
      <c r="O178" s="56"/>
      <c r="P178" s="56"/>
    </row>
    <row r="179" spans="1:16" ht="12.75">
      <c r="A179" s="56"/>
      <c r="B179" s="56"/>
      <c r="C179" s="56"/>
      <c r="D179" s="56"/>
      <c r="E179" s="56"/>
      <c r="F179" s="56"/>
      <c r="G179" s="56"/>
      <c r="H179" s="56"/>
      <c r="I179" s="243"/>
      <c r="J179" s="243"/>
      <c r="K179" s="243"/>
      <c r="L179" s="243"/>
      <c r="M179" s="244"/>
      <c r="N179" s="56"/>
      <c r="O179" s="56"/>
      <c r="P179" s="56"/>
    </row>
    <row r="180" spans="1:16" ht="12.75">
      <c r="A180" s="56"/>
      <c r="B180" s="56"/>
      <c r="C180" s="56"/>
      <c r="D180" s="56"/>
      <c r="E180" s="56"/>
      <c r="F180" s="56"/>
      <c r="G180" s="56"/>
      <c r="H180" s="56"/>
      <c r="I180" s="243"/>
      <c r="J180" s="243"/>
      <c r="K180" s="243"/>
      <c r="L180" s="243"/>
      <c r="M180" s="244"/>
      <c r="N180" s="56"/>
      <c r="O180" s="56"/>
      <c r="P180" s="56"/>
    </row>
    <row r="181" spans="1:16" ht="12.75">
      <c r="A181" s="56"/>
      <c r="B181" s="56"/>
      <c r="C181" s="56"/>
      <c r="D181" s="56"/>
      <c r="E181" s="56"/>
      <c r="F181" s="56"/>
      <c r="G181" s="56"/>
      <c r="H181" s="56"/>
      <c r="I181" s="243"/>
      <c r="J181" s="243"/>
      <c r="K181" s="243"/>
      <c r="L181" s="243"/>
      <c r="M181" s="244"/>
      <c r="N181" s="56"/>
      <c r="O181" s="56"/>
      <c r="P181" s="56"/>
    </row>
    <row r="182" spans="1:16" ht="12.75">
      <c r="A182" s="56"/>
      <c r="B182" s="56"/>
      <c r="C182" s="56"/>
      <c r="D182" s="56"/>
      <c r="E182" s="56"/>
      <c r="F182" s="56"/>
      <c r="G182" s="56"/>
      <c r="H182" s="56"/>
      <c r="I182" s="243"/>
      <c r="J182" s="243"/>
      <c r="K182" s="243"/>
      <c r="L182" s="243"/>
      <c r="M182" s="244"/>
      <c r="N182" s="56"/>
      <c r="O182" s="56"/>
      <c r="P182" s="56"/>
    </row>
    <row r="183" spans="1:16" ht="12.75">
      <c r="A183" s="56"/>
      <c r="B183" s="56"/>
      <c r="C183" s="56"/>
      <c r="D183" s="56"/>
      <c r="E183" s="56"/>
      <c r="F183" s="56"/>
      <c r="G183" s="56"/>
      <c r="H183" s="56"/>
      <c r="I183" s="243"/>
      <c r="J183" s="243"/>
      <c r="K183" s="243"/>
      <c r="L183" s="243"/>
      <c r="M183" s="244"/>
      <c r="N183" s="56"/>
      <c r="O183" s="56"/>
      <c r="P183" s="56"/>
    </row>
    <row r="184" spans="1:16" ht="12.75">
      <c r="A184" s="56"/>
      <c r="B184" s="56"/>
      <c r="C184" s="56"/>
      <c r="D184" s="56"/>
      <c r="E184" s="56"/>
      <c r="F184" s="56"/>
      <c r="G184" s="56"/>
      <c r="H184" s="56"/>
      <c r="I184" s="243"/>
      <c r="J184" s="243"/>
      <c r="K184" s="243"/>
      <c r="L184" s="243"/>
      <c r="M184" s="244"/>
      <c r="N184" s="56"/>
      <c r="O184" s="56"/>
      <c r="P184" s="56"/>
    </row>
    <row r="185" spans="1:16" ht="12.75">
      <c r="A185" s="56"/>
      <c r="B185" s="56"/>
      <c r="C185" s="56"/>
      <c r="D185" s="56"/>
      <c r="E185" s="56"/>
      <c r="F185" s="56"/>
      <c r="G185" s="56"/>
      <c r="H185" s="56"/>
      <c r="I185" s="243"/>
      <c r="J185" s="243"/>
      <c r="K185" s="243"/>
      <c r="L185" s="243"/>
      <c r="M185" s="244"/>
      <c r="N185" s="56"/>
      <c r="O185" s="56"/>
      <c r="P185" s="56"/>
    </row>
    <row r="186" spans="1:16" ht="12.75">
      <c r="A186" s="56"/>
      <c r="B186" s="56"/>
      <c r="C186" s="56"/>
      <c r="D186" s="56"/>
      <c r="E186" s="56"/>
      <c r="F186" s="56"/>
      <c r="G186" s="56"/>
      <c r="H186" s="56"/>
      <c r="I186" s="243"/>
      <c r="J186" s="243"/>
      <c r="K186" s="243"/>
      <c r="L186" s="243"/>
      <c r="M186" s="244"/>
      <c r="N186" s="56"/>
      <c r="O186" s="56"/>
      <c r="P186" s="56"/>
    </row>
    <row r="187" spans="1:16" ht="12.75">
      <c r="A187" s="56"/>
      <c r="B187" s="56"/>
      <c r="C187" s="56"/>
      <c r="D187" s="56"/>
      <c r="E187" s="56"/>
      <c r="F187" s="56"/>
      <c r="G187" s="56"/>
      <c r="H187" s="56"/>
      <c r="I187" s="243"/>
      <c r="J187" s="243"/>
      <c r="K187" s="243"/>
      <c r="L187" s="243"/>
      <c r="M187" s="244"/>
      <c r="N187" s="56"/>
      <c r="O187" s="56"/>
      <c r="P187" s="56"/>
    </row>
    <row r="188" spans="1:16" ht="12.75">
      <c r="A188" s="56"/>
      <c r="B188" s="56"/>
      <c r="C188" s="56"/>
      <c r="D188" s="56"/>
      <c r="E188" s="56"/>
      <c r="F188" s="56"/>
      <c r="G188" s="56"/>
      <c r="H188" s="56"/>
      <c r="I188" s="243"/>
      <c r="J188" s="243"/>
      <c r="K188" s="243"/>
      <c r="L188" s="243"/>
      <c r="M188" s="244"/>
      <c r="N188" s="56"/>
      <c r="O188" s="56"/>
      <c r="P188" s="56"/>
    </row>
    <row r="189" spans="1:16" ht="12.75">
      <c r="A189" s="56"/>
      <c r="B189" s="56"/>
      <c r="C189" s="56"/>
      <c r="D189" s="56"/>
      <c r="E189" s="56"/>
      <c r="F189" s="56"/>
      <c r="G189" s="56"/>
      <c r="H189" s="56"/>
      <c r="I189" s="243"/>
      <c r="J189" s="243"/>
      <c r="K189" s="243"/>
      <c r="L189" s="243"/>
      <c r="M189" s="244"/>
      <c r="N189" s="56"/>
      <c r="O189" s="56"/>
      <c r="P189" s="56"/>
    </row>
    <row r="190" spans="1:16" ht="12.75">
      <c r="A190" s="56"/>
      <c r="B190" s="56"/>
      <c r="C190" s="56"/>
      <c r="D190" s="56"/>
      <c r="E190" s="56"/>
      <c r="F190" s="56"/>
      <c r="G190" s="56"/>
      <c r="H190" s="56"/>
      <c r="I190" s="243"/>
      <c r="J190" s="243"/>
      <c r="K190" s="243"/>
      <c r="L190" s="243"/>
      <c r="M190" s="244"/>
      <c r="N190" s="56"/>
      <c r="O190" s="56"/>
      <c r="P190" s="56"/>
    </row>
    <row r="191" spans="1:16" ht="12.75">
      <c r="A191" s="56"/>
      <c r="B191" s="56"/>
      <c r="C191" s="56"/>
      <c r="D191" s="56"/>
      <c r="E191" s="56"/>
      <c r="F191" s="56"/>
      <c r="G191" s="56"/>
      <c r="H191" s="56"/>
      <c r="I191" s="243"/>
      <c r="J191" s="243"/>
      <c r="K191" s="243"/>
      <c r="L191" s="243"/>
      <c r="M191" s="244"/>
      <c r="N191" s="56"/>
      <c r="O191" s="56"/>
      <c r="P191" s="56"/>
    </row>
    <row r="192" spans="1:16" ht="12.75">
      <c r="A192" s="56"/>
      <c r="B192" s="56"/>
      <c r="C192" s="56"/>
      <c r="D192" s="56"/>
      <c r="E192" s="56"/>
      <c r="F192" s="56"/>
      <c r="G192" s="56"/>
      <c r="H192" s="56"/>
      <c r="I192" s="243"/>
      <c r="J192" s="243"/>
      <c r="K192" s="243"/>
      <c r="L192" s="243"/>
      <c r="M192" s="244"/>
      <c r="N192" s="56"/>
      <c r="O192" s="56"/>
      <c r="P192" s="56"/>
    </row>
    <row r="193" spans="1:16" ht="12.75">
      <c r="A193" s="56"/>
      <c r="B193" s="56"/>
      <c r="C193" s="56"/>
      <c r="D193" s="56"/>
      <c r="E193" s="56"/>
      <c r="F193" s="56"/>
      <c r="G193" s="56"/>
      <c r="H193" s="56"/>
      <c r="I193" s="243"/>
      <c r="J193" s="243"/>
      <c r="K193" s="243"/>
      <c r="L193" s="243"/>
      <c r="M193" s="244"/>
      <c r="N193" s="56"/>
      <c r="O193" s="56"/>
      <c r="P193" s="56"/>
    </row>
    <row r="194" spans="1:16" ht="12.75">
      <c r="A194" s="56"/>
      <c r="B194" s="56"/>
      <c r="C194" s="56"/>
      <c r="D194" s="56"/>
      <c r="E194" s="56"/>
      <c r="F194" s="56"/>
      <c r="G194" s="56"/>
      <c r="H194" s="56"/>
      <c r="I194" s="243"/>
      <c r="J194" s="243"/>
      <c r="K194" s="243"/>
      <c r="L194" s="243"/>
      <c r="M194" s="244"/>
      <c r="N194" s="56"/>
      <c r="O194" s="56"/>
      <c r="P194" s="56"/>
    </row>
    <row r="195" spans="1:16" ht="12.75">
      <c r="A195" s="56"/>
      <c r="B195" s="56"/>
      <c r="C195" s="56"/>
      <c r="D195" s="56"/>
      <c r="E195" s="56"/>
      <c r="F195" s="56"/>
      <c r="G195" s="56"/>
      <c r="H195" s="56"/>
      <c r="I195" s="243"/>
      <c r="J195" s="243"/>
      <c r="K195" s="243"/>
      <c r="L195" s="243"/>
      <c r="M195" s="244"/>
      <c r="N195" s="56"/>
      <c r="O195" s="56"/>
      <c r="P195" s="56"/>
    </row>
    <row r="196" spans="1:16" ht="12.75">
      <c r="A196" s="56"/>
      <c r="B196" s="56"/>
      <c r="C196" s="56"/>
      <c r="D196" s="56"/>
      <c r="E196" s="56"/>
      <c r="F196" s="56"/>
      <c r="G196" s="56"/>
      <c r="H196" s="56"/>
      <c r="I196" s="243"/>
      <c r="J196" s="243"/>
      <c r="K196" s="243"/>
      <c r="L196" s="243"/>
      <c r="M196" s="244"/>
      <c r="N196" s="56"/>
      <c r="O196" s="56"/>
      <c r="P196" s="56"/>
    </row>
    <row r="197" spans="1:16" ht="12.75">
      <c r="A197" s="56"/>
      <c r="B197" s="56"/>
      <c r="C197" s="56"/>
      <c r="D197" s="56"/>
      <c r="E197" s="56"/>
      <c r="F197" s="56"/>
      <c r="G197" s="56"/>
      <c r="H197" s="56"/>
      <c r="I197" s="243"/>
      <c r="J197" s="243"/>
      <c r="K197" s="243"/>
      <c r="L197" s="243"/>
      <c r="M197" s="244"/>
      <c r="N197" s="56"/>
      <c r="O197" s="56"/>
      <c r="P197" s="56"/>
    </row>
    <row r="198" spans="1:16" ht="12.75">
      <c r="A198" s="56"/>
      <c r="B198" s="56"/>
      <c r="C198" s="56"/>
      <c r="D198" s="56"/>
      <c r="E198" s="56"/>
      <c r="F198" s="56"/>
      <c r="G198" s="56"/>
      <c r="H198" s="56"/>
      <c r="I198" s="243"/>
      <c r="J198" s="243"/>
      <c r="K198" s="243"/>
      <c r="L198" s="243"/>
      <c r="M198" s="244"/>
      <c r="N198" s="56"/>
      <c r="O198" s="56"/>
      <c r="P198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8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196" customWidth="1"/>
    <col min="3" max="3" width="20.7109375" style="196" customWidth="1"/>
    <col min="4" max="7" width="14.421875" style="196" customWidth="1"/>
    <col min="8" max="8" width="12.7109375" style="196" customWidth="1"/>
    <col min="9" max="9" width="1.7109375" style="196" customWidth="1"/>
    <col min="10" max="10" width="70.7109375" style="196" customWidth="1"/>
    <col min="11" max="16384" width="8.421875" style="196" customWidth="1"/>
  </cols>
  <sheetData>
    <row r="1" spans="1:12" ht="11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.75">
      <c r="A2" s="56"/>
      <c r="B2" s="182"/>
      <c r="C2" s="246" t="s">
        <v>1214</v>
      </c>
      <c r="D2" s="248"/>
      <c r="E2" s="248"/>
      <c r="F2" s="248"/>
      <c r="G2" s="248"/>
      <c r="H2" s="248"/>
      <c r="I2" s="251"/>
      <c r="J2" s="56"/>
      <c r="K2" s="56"/>
      <c r="L2" s="56"/>
    </row>
    <row r="3" spans="1:12" ht="11.25">
      <c r="A3" s="56"/>
      <c r="B3" s="47"/>
      <c r="C3" s="52"/>
      <c r="D3" s="52"/>
      <c r="E3" s="52"/>
      <c r="F3" s="52"/>
      <c r="G3" s="52"/>
      <c r="H3" s="52"/>
      <c r="I3" s="83"/>
      <c r="J3" s="56"/>
      <c r="K3" s="56"/>
      <c r="L3" s="56"/>
    </row>
    <row r="4" spans="1:12" ht="11.25">
      <c r="A4" s="56"/>
      <c r="B4" s="47"/>
      <c r="C4" s="40" t="s">
        <v>1115</v>
      </c>
      <c r="D4" s="310" t="s">
        <v>1215</v>
      </c>
      <c r="E4" s="230"/>
      <c r="F4" s="231"/>
      <c r="G4" s="52"/>
      <c r="H4" s="52"/>
      <c r="I4" s="83"/>
      <c r="J4" s="56"/>
      <c r="K4" s="56"/>
      <c r="L4" s="56"/>
    </row>
    <row r="5" spans="1:12" ht="11.25">
      <c r="A5" s="56"/>
      <c r="B5" s="47"/>
      <c r="C5" s="52"/>
      <c r="D5" s="52"/>
      <c r="E5" s="52"/>
      <c r="F5" s="52"/>
      <c r="G5" s="52"/>
      <c r="H5" s="52"/>
      <c r="I5" s="83"/>
      <c r="J5" s="56"/>
      <c r="K5" s="56"/>
      <c r="L5" s="56"/>
    </row>
    <row r="6" spans="1:12" ht="11.25">
      <c r="A6" s="56"/>
      <c r="B6" s="47"/>
      <c r="C6" s="205" t="s">
        <v>1216</v>
      </c>
      <c r="D6" s="210"/>
      <c r="E6" s="210"/>
      <c r="F6" s="212"/>
      <c r="G6" s="52"/>
      <c r="H6" s="52"/>
      <c r="I6" s="83"/>
      <c r="J6" s="56"/>
      <c r="K6" s="56"/>
      <c r="L6" s="56"/>
    </row>
    <row r="7" spans="1:12" ht="11.25">
      <c r="A7" s="56"/>
      <c r="B7" s="47"/>
      <c r="C7" s="161" t="s">
        <v>903</v>
      </c>
      <c r="D7" s="25">
        <v>12</v>
      </c>
      <c r="E7" s="154"/>
      <c r="F7" s="172"/>
      <c r="G7" s="52"/>
      <c r="H7" s="52"/>
      <c r="I7" s="83"/>
      <c r="J7" s="56"/>
      <c r="K7" s="56"/>
      <c r="L7" s="56"/>
    </row>
    <row r="8" spans="1:12" ht="11.25">
      <c r="A8" s="56"/>
      <c r="B8" s="47"/>
      <c r="C8" s="161" t="s">
        <v>1217</v>
      </c>
      <c r="D8" s="25">
        <v>4</v>
      </c>
      <c r="E8" s="222" t="str">
        <f>CHOOSE((D8+1),"Turret","Bay","Fixed","Parallel","Spinal")</f>
        <v>Spinal</v>
      </c>
      <c r="F8" s="226"/>
      <c r="G8" s="52"/>
      <c r="H8" s="52"/>
      <c r="I8" s="83"/>
      <c r="J8" s="56"/>
      <c r="K8" s="56"/>
      <c r="L8" s="56"/>
    </row>
    <row r="9" spans="1:12" ht="11.25">
      <c r="A9" s="56"/>
      <c r="B9" s="47"/>
      <c r="C9" s="161" t="s">
        <v>887</v>
      </c>
      <c r="D9" s="25">
        <v>0</v>
      </c>
      <c r="E9" s="163" t="str">
        <f>CHOOSE((D9+1),"Linear","Toroidal")</f>
        <v>Linear</v>
      </c>
      <c r="F9" s="216"/>
      <c r="G9" s="52"/>
      <c r="H9" s="52"/>
      <c r="I9" s="83"/>
      <c r="J9" s="56"/>
      <c r="K9" s="56"/>
      <c r="L9" s="56"/>
    </row>
    <row r="10" spans="1:12" ht="11.25">
      <c r="A10" s="56"/>
      <c r="B10" s="47"/>
      <c r="C10" s="161" t="s">
        <v>1218</v>
      </c>
      <c r="D10" s="25">
        <v>40</v>
      </c>
      <c r="E10" s="27" t="str">
        <f>CHOOSE((D8+1),CHOOSE((D23+1),IF(D10&gt;Tables!F39,"Size Violation"," "),IF(D10&gt;4.18,"Size violation"," "),IF(D10&gt;5.26,"Size Violation"," "),IF(D10&gt;12,"Size Violation"," "),IF(D10&gt;16,"Size Violation"," ")),CHOOSE((((D23+1)-1)+1),IF(D10&gt;Tables!F39,"Size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Size Violation</v>
      </c>
      <c r="F10" s="216"/>
      <c r="G10" s="52"/>
      <c r="H10" s="52"/>
      <c r="I10" s="83"/>
      <c r="J10" s="56"/>
      <c r="K10" s="56"/>
      <c r="L10" s="56"/>
    </row>
    <row r="11" spans="1:12" ht="11.25">
      <c r="A11" s="56"/>
      <c r="B11" s="47"/>
      <c r="C11" s="161" t="s">
        <v>1219</v>
      </c>
      <c r="D11" s="30">
        <f>IF(D9=0,0,ROUND(D10/(2*PI()),2))</f>
        <v>0</v>
      </c>
      <c r="E11" s="168"/>
      <c r="F11" s="172"/>
      <c r="G11" s="52"/>
      <c r="H11" s="52"/>
      <c r="I11" s="83"/>
      <c r="J11" s="56"/>
      <c r="K11" s="56"/>
      <c r="L11" s="56"/>
    </row>
    <row r="12" spans="1:12" ht="11.25">
      <c r="A12" s="56"/>
      <c r="B12" s="47"/>
      <c r="C12" s="161" t="s">
        <v>1220</v>
      </c>
      <c r="D12" s="25">
        <f>D10/8</f>
        <v>5</v>
      </c>
      <c r="E12" s="163" t="str">
        <f>IF(D12&gt;D10/8,"Size Violation"," ")</f>
        <v> </v>
      </c>
      <c r="F12" s="216"/>
      <c r="G12" s="52"/>
      <c r="H12" s="52"/>
      <c r="I12" s="83"/>
      <c r="J12" s="56"/>
      <c r="K12" s="56"/>
      <c r="L12" s="56"/>
    </row>
    <row r="13" spans="1:12" ht="11.25">
      <c r="A13" s="56"/>
      <c r="B13" s="47"/>
      <c r="C13" s="161" t="s">
        <v>1221</v>
      </c>
      <c r="D13" s="25">
        <f>D10^2</f>
        <v>1600</v>
      </c>
      <c r="E13" s="163" t="str">
        <f>IF(D13&gt;D10^2,"Energy limit exceeded"," ")</f>
        <v> </v>
      </c>
      <c r="F13" s="216"/>
      <c r="G13" s="52"/>
      <c r="H13" s="52"/>
      <c r="I13" s="83"/>
      <c r="J13" s="56"/>
      <c r="K13" s="56"/>
      <c r="L13" s="56"/>
    </row>
    <row r="14" spans="1:12" ht="11.25">
      <c r="A14" s="56"/>
      <c r="B14" s="47"/>
      <c r="C14" s="161" t="s">
        <v>1222</v>
      </c>
      <c r="D14" s="25">
        <v>1</v>
      </c>
      <c r="E14" s="168"/>
      <c r="F14" s="172"/>
      <c r="G14" s="52"/>
      <c r="H14" s="52"/>
      <c r="I14" s="83"/>
      <c r="J14" s="56"/>
      <c r="K14" s="56"/>
      <c r="L14" s="56"/>
    </row>
    <row r="15" spans="1:12" ht="11.25">
      <c r="A15" s="56"/>
      <c r="B15" s="47"/>
      <c r="C15" s="276" t="s">
        <v>1123</v>
      </c>
      <c r="D15" s="281">
        <f>ROUND(Tables!E403,0)</f>
        <v>589049</v>
      </c>
      <c r="E15" s="168"/>
      <c r="F15" s="172"/>
      <c r="G15" s="52"/>
      <c r="H15" s="52"/>
      <c r="I15" s="83"/>
      <c r="J15" s="56"/>
      <c r="K15" s="56"/>
      <c r="L15" s="56"/>
    </row>
    <row r="16" spans="1:12" ht="11.25">
      <c r="A16" s="56"/>
      <c r="B16" s="47"/>
      <c r="C16" s="276" t="s">
        <v>1124</v>
      </c>
      <c r="D16" s="25">
        <v>2</v>
      </c>
      <c r="E16" s="27" t="str">
        <f>CHOOSE((D16+1),"Short (30,000km)","Normal (150,000km)","Extreme (300,000km)")</f>
        <v>Extreme (300,000km)</v>
      </c>
      <c r="F16" s="226"/>
      <c r="G16" s="52"/>
      <c r="H16" s="52"/>
      <c r="I16" s="83"/>
      <c r="J16" s="56"/>
      <c r="K16" s="56"/>
      <c r="L16" s="56"/>
    </row>
    <row r="17" spans="1:12" ht="11.25">
      <c r="A17" s="56"/>
      <c r="B17" s="47"/>
      <c r="C17" s="47" t="s">
        <v>1223</v>
      </c>
      <c r="D17" s="30">
        <f>MAX(ROUND(0.01*Tables!$E$148*D34,0),1)</f>
        <v>3</v>
      </c>
      <c r="E17" s="168"/>
      <c r="F17" s="172"/>
      <c r="G17" s="52"/>
      <c r="H17" s="52"/>
      <c r="I17" s="83"/>
      <c r="J17" s="56"/>
      <c r="K17" s="56"/>
      <c r="L17" s="56"/>
    </row>
    <row r="18" spans="1:12" ht="11.25">
      <c r="A18" s="56"/>
      <c r="B18" s="47"/>
      <c r="C18" s="177" t="s">
        <v>1126</v>
      </c>
      <c r="D18" s="25">
        <v>0</v>
      </c>
      <c r="E18" s="222" t="str">
        <f>IF(D18=0,"No","Yes")</f>
        <v>No</v>
      </c>
      <c r="F18" s="226"/>
      <c r="G18" s="52"/>
      <c r="H18" s="52"/>
      <c r="I18" s="83"/>
      <c r="J18" s="56"/>
      <c r="K18" s="56"/>
      <c r="L18" s="56"/>
    </row>
    <row r="19" spans="1:12" ht="11.25">
      <c r="A19" s="56"/>
      <c r="B19" s="47"/>
      <c r="C19" s="177" t="s">
        <v>1127</v>
      </c>
      <c r="D19" s="25">
        <v>1</v>
      </c>
      <c r="E19" s="222" t="str">
        <f>IF(D19=0,"No","Yes")</f>
        <v>Yes</v>
      </c>
      <c r="F19" s="226"/>
      <c r="G19" s="52"/>
      <c r="H19" s="52"/>
      <c r="I19" s="83"/>
      <c r="J19" s="56"/>
      <c r="K19" s="56"/>
      <c r="L19" s="56"/>
    </row>
    <row r="20" spans="1:12" ht="11.25">
      <c r="A20" s="56"/>
      <c r="B20" s="47"/>
      <c r="C20" s="161" t="s">
        <v>1148</v>
      </c>
      <c r="D20" s="25">
        <v>1</v>
      </c>
      <c r="E20" s="410">
        <f>IF(D20&gt;10,"Error: Max 10","")</f>
      </c>
      <c r="F20" s="216"/>
      <c r="G20" s="52"/>
      <c r="H20" s="52"/>
      <c r="I20" s="83"/>
      <c r="J20" s="56"/>
      <c r="K20" s="56"/>
      <c r="L20" s="56"/>
    </row>
    <row r="21" spans="1:12" ht="11.25">
      <c r="A21" s="56"/>
      <c r="B21" s="47"/>
      <c r="C21" s="161" t="s">
        <v>1224</v>
      </c>
      <c r="D21" s="25">
        <v>100</v>
      </c>
      <c r="E21" s="410">
        <f>IF(D21&gt;800,"Error: Max ROF is 800","")</f>
      </c>
      <c r="F21" s="216"/>
      <c r="G21" s="52"/>
      <c r="H21" s="52"/>
      <c r="I21" s="83"/>
      <c r="J21" s="56"/>
      <c r="K21" s="56"/>
      <c r="L21" s="56"/>
    </row>
    <row r="22" spans="1:12" ht="11.25">
      <c r="A22" s="56"/>
      <c r="B22" s="47"/>
      <c r="C22" s="161" t="s">
        <v>1131</v>
      </c>
      <c r="D22" s="25">
        <v>0</v>
      </c>
      <c r="E22" s="168"/>
      <c r="F22" s="172"/>
      <c r="G22" s="52"/>
      <c r="H22" s="52"/>
      <c r="I22" s="83"/>
      <c r="J22" s="56"/>
      <c r="K22" s="56"/>
      <c r="L22" s="56"/>
    </row>
    <row r="23" spans="1:12" ht="11.25">
      <c r="A23" s="56"/>
      <c r="B23" s="47"/>
      <c r="C23" s="180" t="s">
        <v>1132</v>
      </c>
      <c r="D23" s="31">
        <v>0</v>
      </c>
      <c r="E23" s="224" t="str">
        <f>CHOOSE((D23+1),"None","42m turret","84m turret","50std bay","100std bay")</f>
        <v>None</v>
      </c>
      <c r="F23" s="229"/>
      <c r="G23" s="52"/>
      <c r="H23" s="52"/>
      <c r="I23" s="83"/>
      <c r="J23" s="56"/>
      <c r="K23" s="56"/>
      <c r="L23" s="56"/>
    </row>
    <row r="24" spans="1:12" ht="11.25">
      <c r="A24" s="56"/>
      <c r="B24" s="47"/>
      <c r="C24" s="52"/>
      <c r="D24" s="52"/>
      <c r="E24" s="52"/>
      <c r="F24" s="52"/>
      <c r="G24" s="52"/>
      <c r="H24" s="52"/>
      <c r="I24" s="83"/>
      <c r="J24" s="56"/>
      <c r="K24" s="56"/>
      <c r="L24" s="56"/>
    </row>
    <row r="25" spans="1:12" ht="11.25">
      <c r="A25" s="56"/>
      <c r="B25" s="47"/>
      <c r="C25" s="205" t="s">
        <v>556</v>
      </c>
      <c r="D25" s="472" t="s">
        <v>1134</v>
      </c>
      <c r="E25" s="207" t="s">
        <v>1135</v>
      </c>
      <c r="F25" s="208"/>
      <c r="G25" s="52"/>
      <c r="H25" s="52"/>
      <c r="I25" s="83"/>
      <c r="J25" s="56"/>
      <c r="K25" s="56"/>
      <c r="L25" s="56"/>
    </row>
    <row r="26" spans="1:12" ht="11.25">
      <c r="A26" s="465"/>
      <c r="B26" s="476"/>
      <c r="C26" s="254" t="s">
        <v>1136</v>
      </c>
      <c r="D26" s="481"/>
      <c r="E26" s="498">
        <f>CHOOSE(($D$9+1),MIN($D$13,ROUND($D$13/((CHOOSE(($D$16+1),30000,150000,150000)/Tables!$E$403)^2),2)),MIN($D$13*SQRT($D$14),ROUND(($D$13*SQRT($D$14))/((CHOOSE(($D$16+1),30000,150000,150000)/Tables!$E$403)^2),2)))</f>
        <v>1600</v>
      </c>
      <c r="F26" s="226"/>
      <c r="G26" s="462"/>
      <c r="H26" s="462"/>
      <c r="I26" s="464"/>
      <c r="J26" s="465"/>
      <c r="K26" s="465"/>
      <c r="L26" s="465"/>
    </row>
    <row r="27" spans="1:12" ht="11.25">
      <c r="A27" s="56"/>
      <c r="B27" s="47"/>
      <c r="C27" s="254" t="s">
        <v>1137</v>
      </c>
      <c r="D27" s="491">
        <f>CHOOSE(($D$9+1),MIN($D$13,ROUND($D$13/((CHOOSE(($D$16+1),30000,300000,300000)/Tables!$E$403)^2),2)),MIN($D$13*SQRT($D$14),ROUND(($D$13*SQRT($D$14))/((CHOOSE(($D$16+1),30000,300000,300000)/Tables!$E$403)^2),2)))</f>
        <v>1600</v>
      </c>
      <c r="E27" s="498">
        <f>IF($D$16=0,0,CHOOSE(($D$9+1),MIN($D$13,ROUND($D$13/((CHOOSE(($D$16+1),30000,300000,300000)/Tables!$E$403)^2),2)),MIN($D$13*SQRT($D$14),ROUND(($D$13*SQRT($D$14))/((CHOOSE(($D$16+1),30000,300000,300000)/Tables!$E$403)^2),2))))</f>
        <v>1600</v>
      </c>
      <c r="F27" s="226"/>
      <c r="G27" s="52"/>
      <c r="H27" s="52"/>
      <c r="I27" s="83"/>
      <c r="J27" s="56"/>
      <c r="K27" s="56"/>
      <c r="L27" s="56"/>
    </row>
    <row r="28" spans="1:12" ht="12.75">
      <c r="A28" s="56"/>
      <c r="B28" s="47"/>
      <c r="C28" s="254" t="s">
        <v>1138</v>
      </c>
      <c r="D28" s="491">
        <f>CHOOSE((D$9+1),MIN($D$13,ROUND($D$13/(((CHOOSE((D16+1),30000,300000,300000)*2)/Tables!$E$403)^2),2)),MIN($D$13*SQRT(D$14),ROUND(($D$13*SQRT(D$14))/(((CHOOSE((D16+1),30000,300000,300000)*2)/Tables!$E$403)^2),2)))</f>
        <v>1542.13</v>
      </c>
      <c r="E28" s="498">
        <f>IF($D$16=0,0,CHOOSE(($D$9+1),MIN($D$13,ROUND($D$13/((CHOOSE(($D$16+1),30000,600000,600000)/Tables!$E$403)^2),2)),MIN($D$13*SQRT($D$14),ROUND(($D$13*SQRT($D$14))/((CHOOSE(($D$16+1),30000,600000,600000)/Tables!$E$403)^2),2))))</f>
        <v>1542.13</v>
      </c>
      <c r="F28" s="226"/>
      <c r="G28" s="52"/>
      <c r="H28" s="52"/>
      <c r="I28" s="156"/>
      <c r="J28" s="56"/>
      <c r="K28" s="56"/>
      <c r="L28" s="56"/>
    </row>
    <row r="29" spans="1:12" ht="11.25">
      <c r="A29" s="56"/>
      <c r="B29" s="47"/>
      <c r="C29" s="254" t="s">
        <v>1139</v>
      </c>
      <c r="D29" s="491">
        <f>CHOOSE((D$9+1),MIN($D$13,ROUND($D$13/(((CHOOSE((D16+1),30000,300000,300000)*4)/Tables!$E$403)^2),2)),MIN($D$13*SQRT(D$14),ROUND(($D$13*SQRT(D$14))/(((CHOOSE((D16+1),30000,300000,300000)*4)/Tables!$E$403)^2),2)))</f>
        <v>385.53</v>
      </c>
      <c r="E29" s="498">
        <f>IF($D$16=0,0,CHOOSE(($D$9+1),MIN($D$13,ROUND($D$13/((CHOOSE(($D$16+1),30000,1200000,1200000)/Tables!$E$403)^2),2)),MIN($D$13*SQRT($D$14),ROUND(($D$13*SQRT($D$14))/((CHOOSE(($D$16+1),30000,1200000,1200000)/Tables!$E$403)^2),2))))</f>
        <v>385.53</v>
      </c>
      <c r="F29" s="226"/>
      <c r="G29" s="52"/>
      <c r="H29" s="52"/>
      <c r="I29" s="83"/>
      <c r="J29" s="56"/>
      <c r="K29" s="56"/>
      <c r="L29" s="56"/>
    </row>
    <row r="30" spans="1:12" ht="11.25">
      <c r="A30" s="56"/>
      <c r="B30" s="47"/>
      <c r="C30" s="254" t="s">
        <v>1140</v>
      </c>
      <c r="D30" s="491">
        <f>CHOOSE((D$9+1),MIN($D$13,ROUND($D$13/(((CHOOSE((D16+1),30000,300000,300000)*8)/Tables!$E$403)^2),2)),MIN($D$13*SQRT(D$14),ROUND(($D$13*SQRT(D$14))/(((CHOOSE((D16+1),30000,300000,300000)*8)/Tables!$E$403)^2),2)))</f>
        <v>96.38</v>
      </c>
      <c r="E30" s="498">
        <f>IF($D$16&lt;2,0,CHOOSE(($D$9+1),MIN($D$13,ROUND($D$13/((CHOOSE(($D$16+1),30000,2400000,2400000)/Tables!$E$403)^2),2)),MIN($D$13*SQRT($D$14),ROUND(($D$13*SQRT($D$14))/((CHOOSE(($D$16+1),30000,2400000,2400000)/Tables!$E$403)^2),2))))</f>
        <v>96.38</v>
      </c>
      <c r="F30" s="226"/>
      <c r="G30" s="52"/>
      <c r="H30" s="52"/>
      <c r="I30" s="83"/>
      <c r="J30" s="56"/>
      <c r="K30" s="56"/>
      <c r="L30" s="56"/>
    </row>
    <row r="31" spans="1:12" ht="11.25">
      <c r="A31" s="56"/>
      <c r="B31" s="47"/>
      <c r="C31" s="264" t="s">
        <v>1134</v>
      </c>
      <c r="D31" s="494" t="str">
        <f>CONCATENATE("(",IF(D19=0,"+0",CHOOSE((D7+1),"+0","+0","+0","+0","+0","+0","+0","+0","+0","+0","+3","+3","+4","+4","+5","+6","+6","+7","+7","+8","+8","+9")),") 2/",ROUND(Tables!F408,0),"-",ROUND(Tables!F409,0),"-",ROUND(Tables!F410,0),"-",ROUND(Tables!F411,0))</f>
        <v>(+4) 2/8-8-5-3</v>
      </c>
      <c r="E31" s="224" t="str">
        <f>CONCATENATE("(",IF(Tables!$E$417&gt;=0,"+",""),Tables!$E$417,IF($D$19=0,"",CHOOSE(($D$7+1),"","","","","","","","","","",",+3",",+3",",+4",",+4",",+5",",+6",",+6",",+7",",+7",",+8",",+8",",+9")),") ",IF($E$26=0,"",CONCATENATE(Tables!$H$412,":",Tables!$F$412))," ",IF($E$27=0,"",CONCATENATE(Tables!$H$413,":",Tables!$F$413))," ",IF($E$28=0,"",CONCATENATE(Tables!$H$414,":",Tables!$F$414))," ",IF($E$29=0,"",CONCATENATE(Tables!$H$415,":",Tables!$F$415))," ",IF($E$30=0,"",CONCATENATE(Tables!$H$416,":",Tables!$F$416))," ")</f>
        <v>(+1,+4) 13:13 13:13 13:13 11:11 10:10 </v>
      </c>
      <c r="F31" s="229"/>
      <c r="G31" s="52"/>
      <c r="H31" s="52"/>
      <c r="I31" s="83"/>
      <c r="J31" s="56"/>
      <c r="K31" s="56"/>
      <c r="L31" s="56"/>
    </row>
    <row r="32" spans="1:12" ht="11.25">
      <c r="A32" s="56"/>
      <c r="B32" s="47"/>
      <c r="C32" s="52"/>
      <c r="D32" s="52"/>
      <c r="E32" s="52"/>
      <c r="F32" s="52"/>
      <c r="G32" s="52"/>
      <c r="H32" s="52"/>
      <c r="I32" s="83"/>
      <c r="J32" s="56"/>
      <c r="K32" s="56"/>
      <c r="L32" s="56"/>
    </row>
    <row r="33" spans="1:12" ht="11.25">
      <c r="A33" s="56"/>
      <c r="B33" s="47"/>
      <c r="C33" s="205" t="s">
        <v>1141</v>
      </c>
      <c r="D33" s="207" t="s">
        <v>910</v>
      </c>
      <c r="E33" s="207" t="s">
        <v>911</v>
      </c>
      <c r="F33" s="207" t="s">
        <v>912</v>
      </c>
      <c r="G33" s="207" t="s">
        <v>913</v>
      </c>
      <c r="H33" s="142" t="s">
        <v>1142</v>
      </c>
      <c r="I33" s="83"/>
      <c r="J33" s="56"/>
      <c r="K33" s="56"/>
      <c r="L33" s="56"/>
    </row>
    <row r="34" spans="1:12" ht="11.25">
      <c r="A34" s="56"/>
      <c r="B34" s="47"/>
      <c r="C34" s="177" t="s">
        <v>1225</v>
      </c>
      <c r="D34" s="19">
        <f>CHOOSE((D9+1),D10*Tables!E399,PI()^2*D11*D12^2)*D20*Tables!E404</f>
        <v>785.3981633974483</v>
      </c>
      <c r="E34" s="18">
        <f>D34*CHOOSE((D7+1),0,0,0,0,0,0,0,0,1.2,1,1,0.75,0.75,0.75,0.75,0.75,0.6,0.5,0.4,0.4,0.3,0.3)</f>
        <v>589.0486225480863</v>
      </c>
      <c r="F34" s="18">
        <f>Tables!E399*D20</f>
        <v>19.634954084936208</v>
      </c>
      <c r="G34" s="18">
        <f>(D21*Tables!E405*D20*IF(D9=0,1,D14))/1800</f>
        <v>444.44444444444446</v>
      </c>
      <c r="H34" s="116">
        <f>D34*0.1</f>
        <v>78.53981633974485</v>
      </c>
      <c r="I34" s="83"/>
      <c r="J34" s="56"/>
      <c r="K34" s="56"/>
      <c r="L34" s="56"/>
    </row>
    <row r="35" spans="1:12" ht="11.25">
      <c r="A35" s="56"/>
      <c r="B35" s="47"/>
      <c r="C35" s="177" t="s">
        <v>961</v>
      </c>
      <c r="D35" s="19">
        <f>VLOOKUP(CHOOSE((D16+1),5,6,6),Tables!$D$119:$Z$125,(D7+1+1))*D20</f>
        <v>16.67</v>
      </c>
      <c r="E35" s="19">
        <f>D35</f>
        <v>16.67</v>
      </c>
      <c r="F35" s="148"/>
      <c r="G35" s="148"/>
      <c r="H35" s="120">
        <f>D35*0.1</f>
        <v>1.6670000000000003</v>
      </c>
      <c r="I35" s="83"/>
      <c r="J35" s="56"/>
      <c r="K35" s="56"/>
      <c r="L35" s="56"/>
    </row>
    <row r="36" spans="1:12" ht="11.25">
      <c r="A36" s="56"/>
      <c r="B36" s="47"/>
      <c r="C36" s="177" t="s">
        <v>954</v>
      </c>
      <c r="D36" s="18">
        <f>Tables!E405*CHOOSE((D7+1),0,0,0,0,0,0,0,0.25,0.125,0.1,0.08,0.06,0.05,0.045,0.04,0.035,0.03,0.025,0.02,0.015,0.01,0.005)*D20</f>
        <v>400</v>
      </c>
      <c r="E36" s="18">
        <f>D36*2</f>
        <v>800</v>
      </c>
      <c r="F36" s="148"/>
      <c r="G36" s="148"/>
      <c r="H36" s="116">
        <f>D36*0.01</f>
        <v>4</v>
      </c>
      <c r="I36" s="83"/>
      <c r="J36" s="56"/>
      <c r="K36" s="56"/>
      <c r="L36" s="56"/>
    </row>
    <row r="37" spans="1:12" ht="11.25">
      <c r="A37" s="56"/>
      <c r="B37" s="47"/>
      <c r="C37" s="177" t="s">
        <v>1145</v>
      </c>
      <c r="D37" s="18">
        <f>IF(D18=0,0,7)*D17</f>
        <v>0</v>
      </c>
      <c r="E37" s="18">
        <f>IF(D18=0,0,0.2)*D17</f>
        <v>0</v>
      </c>
      <c r="F37" s="148"/>
      <c r="G37" s="148"/>
      <c r="H37" s="69">
        <f>CHOOSE((D7+1),0,0,0,0,0.0001,0.0002,0.0003,0.0005,0.00075,0.001,0.0015,0.0015,0.0015,0.002,0.002,0.002,0.002,0.0025,0.0025,0.0025,0.0025,0.003)*IF(D18=0,0,D17)</f>
        <v>0</v>
      </c>
      <c r="I37" s="83"/>
      <c r="J37" s="56"/>
      <c r="K37" s="56"/>
      <c r="L37" s="56"/>
    </row>
    <row r="38" spans="1:12" ht="11.25">
      <c r="A38" s="56"/>
      <c r="B38" s="47"/>
      <c r="C38" s="177" t="s">
        <v>1146</v>
      </c>
      <c r="D38" s="19">
        <f>IF(D19=0,0,VLOOKUP(CHOOSE((D16+1),5,6,6),Tables!$D$128:$Z$134,(D7+1+1)))</f>
        <v>33.33</v>
      </c>
      <c r="E38" s="19">
        <f>D38</f>
        <v>33.33</v>
      </c>
      <c r="F38" s="106"/>
      <c r="G38" s="19">
        <f>D38*0.01</f>
        <v>0.3333</v>
      </c>
      <c r="H38" s="120">
        <f>D38</f>
        <v>33.33</v>
      </c>
      <c r="I38" s="83"/>
      <c r="J38" s="56"/>
      <c r="K38" s="56"/>
      <c r="L38" s="56"/>
    </row>
    <row r="39" spans="1:12" ht="11.25">
      <c r="A39" s="56"/>
      <c r="B39" s="47"/>
      <c r="C39" s="276" t="s">
        <v>570</v>
      </c>
      <c r="D39" s="19">
        <f>Tables!E407*Tables!F407</f>
        <v>0</v>
      </c>
      <c r="E39" s="19">
        <f>$D$39*Tables!$F$10</f>
        <v>0</v>
      </c>
      <c r="F39" s="106"/>
      <c r="G39" s="19">
        <f>$D$39*Tables!$F$12</f>
        <v>0</v>
      </c>
      <c r="H39" s="120">
        <f>$D$39*Tables!$F$11</f>
        <v>0</v>
      </c>
      <c r="I39" s="83"/>
      <c r="J39" s="56"/>
      <c r="K39" s="56"/>
      <c r="L39" s="56"/>
    </row>
    <row r="40" spans="1:12" ht="11.25">
      <c r="A40" s="56"/>
      <c r="B40" s="47"/>
      <c r="C40" s="177" t="s">
        <v>1132</v>
      </c>
      <c r="D40" s="18">
        <f>IF(D23=0,0,CHOOSE((D23+1),0,42,84,700,1400)-SUM(D34:D39))</f>
        <v>0</v>
      </c>
      <c r="E40" s="237"/>
      <c r="F40" s="237"/>
      <c r="G40" s="148"/>
      <c r="H40" s="75"/>
      <c r="I40" s="83"/>
      <c r="J40" s="56"/>
      <c r="K40" s="56"/>
      <c r="L40" s="56"/>
    </row>
    <row r="41" spans="1:12" ht="11.25">
      <c r="A41" s="56"/>
      <c r="B41" s="47"/>
      <c r="C41" s="13" t="s">
        <v>341</v>
      </c>
      <c r="D41" s="105">
        <f>IF(D40&lt;0,#VALUE!,SUM(D34:D40))</f>
        <v>1235.3981633974481</v>
      </c>
      <c r="E41" s="105">
        <f>SUM(E34:E40)</f>
        <v>1439.0486225480863</v>
      </c>
      <c r="F41" s="105">
        <f>SUM(F34:F40)</f>
        <v>19.634954084936208</v>
      </c>
      <c r="G41" s="105">
        <f>SUM(G34:G40)</f>
        <v>444.77774444444447</v>
      </c>
      <c r="H41" s="139">
        <f>SUM(H34:H40)</f>
        <v>117.53681633974485</v>
      </c>
      <c r="I41" s="83"/>
      <c r="J41" s="56"/>
      <c r="K41" s="56"/>
      <c r="L41" s="56"/>
    </row>
    <row r="42" spans="1:12" ht="11.25">
      <c r="A42" s="56"/>
      <c r="B42" s="47"/>
      <c r="C42" s="52"/>
      <c r="D42" s="52"/>
      <c r="E42" s="52"/>
      <c r="F42" s="52"/>
      <c r="G42" s="52"/>
      <c r="H42" s="52"/>
      <c r="I42" s="83"/>
      <c r="J42" s="56"/>
      <c r="K42" s="56"/>
      <c r="L42" s="56"/>
    </row>
    <row r="43" spans="1:12" ht="12.75">
      <c r="A43" s="56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</row>
    <row r="44" spans="1:12" ht="12.75">
      <c r="A44" s="56"/>
      <c r="B44" s="49"/>
      <c r="C44" s="254" t="s">
        <v>1148</v>
      </c>
      <c r="D44" s="37">
        <v>1</v>
      </c>
      <c r="E44" s="110" t="str">
        <f>IF(D44*D20&gt;10,"Error: Max 10"," ")</f>
        <v> </v>
      </c>
      <c r="F44" s="228"/>
      <c r="G44" s="255"/>
      <c r="H44" s="98"/>
      <c r="I44" s="83"/>
      <c r="J44" s="56"/>
      <c r="K44" s="56"/>
      <c r="L44" s="56"/>
    </row>
    <row r="45" spans="1:12" ht="12.75">
      <c r="A45" s="56"/>
      <c r="B45" s="49"/>
      <c r="C45" s="177" t="s">
        <v>1149</v>
      </c>
      <c r="D45" s="30">
        <f>IF(D44&gt;1,IF(D18=0,1,0),0)</f>
        <v>0</v>
      </c>
      <c r="E45" s="110"/>
      <c r="F45" s="228"/>
      <c r="G45" s="255"/>
      <c r="H45" s="98"/>
      <c r="I45" s="83"/>
      <c r="J45" s="56"/>
      <c r="K45" s="56"/>
      <c r="L45" s="56"/>
    </row>
    <row r="46" spans="1:12" ht="12.75">
      <c r="A46" s="56"/>
      <c r="B46" s="49"/>
      <c r="C46" s="179" t="s">
        <v>1127</v>
      </c>
      <c r="D46" s="147">
        <f>IF(D44&gt;1,1,0)</f>
        <v>0</v>
      </c>
      <c r="E46" s="59"/>
      <c r="F46" s="229"/>
      <c r="G46" s="255"/>
      <c r="H46" s="98"/>
      <c r="I46" s="83"/>
      <c r="J46" s="56"/>
      <c r="K46" s="56"/>
      <c r="L46" s="56"/>
    </row>
    <row r="47" spans="1:12" ht="12.75">
      <c r="A47" s="56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</row>
    <row r="48" spans="1:12" ht="12.75">
      <c r="A48" s="56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</row>
    <row r="49" spans="1:12" ht="12.75">
      <c r="A49" s="465"/>
      <c r="B49" s="457"/>
      <c r="C49" s="484" t="s">
        <v>1134</v>
      </c>
      <c r="D49" s="485" t="str">
        <f>CONCATENATE("(",IF(D46+D19=0,"+0",CHOOSE((D7+1),"+0","+0","+0","+0","+0","+0","+0","+0","+0","+0","+3","+3","+4","+4","+5","+6","+6","+7","+7","+8","+8","+9")),") 2/",ROUND(Tables!G408,0),"-",ROUND(Tables!G409,0),"-",ROUND(Tables!G410,0),"-",ROUND(Tables!G411,0)," [",ROUND(D20*D44,0),",",ROUND(D21,0),"/",ROUND(Tables!E408,0),"-",ROUND(Tables!E409,0),"-",ROUND(Tables!E410,0),"-",ROUND(Tables!E411,0),"]",CHOOSE((D16+1)," (SR"," (LR"," (LR"),IF(D22=0,"",CONCATENATE(" /Ar:",ROUND(VLOOKUP(D22/1.43,Tables!A2:B61,2)*10,0)," [",ROUND(D22,0),"]")),")")</f>
        <v>(+4) 2/8-8-5-3 [1,100/284-279-139-70] (LR)</v>
      </c>
      <c r="E49" s="493"/>
      <c r="F49" s="492"/>
      <c r="G49" s="462"/>
      <c r="H49" s="463"/>
      <c r="I49" s="464"/>
      <c r="J49" s="465"/>
      <c r="K49" s="465"/>
      <c r="L49" s="465"/>
    </row>
    <row r="50" spans="1:12" ht="12.75">
      <c r="A50" s="56"/>
      <c r="B50" s="49"/>
      <c r="C50" s="264" t="s">
        <v>1135</v>
      </c>
      <c r="D50" s="224" t="str">
        <f>CONCATENATE("(",IF(Tables!$E$417&gt;=0,"+",""),Tables!$E$417,IF($D$19+$D$46=0,"",CHOOSE(($D$7+1),"","","","","","","","","","",",+3",",+3",",+4",",+4",",+5",",+6",",+6",",+7",",+7",",+8",",+8",",+9")),") ",IF($E$26=0,"",CONCATENATE(Tables!$H$412,":",Tables!$G$412))," ",IF($E$27=0,"",CONCATENATE(Tables!$H$413,":",Tables!$G$413))," ",IF($E$28=0,"",CONCATENATE(Tables!$H$414,":",Tables!$G$414))," ",IF($E$29=0,"",CONCATENATE(Tables!$H$415,":",Tables!$G$415))," ",IF($E$30=0,"",CONCATENATE(Tables!$H$416,":",Tables!$G$416))," ")</f>
        <v>(+1,+4) 13:13 13:13 13:13 11:11 10:10 </v>
      </c>
      <c r="E50" s="59"/>
      <c r="F50" s="214"/>
      <c r="G50" s="52"/>
      <c r="H50" s="98"/>
      <c r="I50" s="83"/>
      <c r="J50" s="56"/>
      <c r="K50" s="56"/>
      <c r="L50" s="56"/>
    </row>
    <row r="51" spans="1:12" ht="12.75">
      <c r="A51" s="56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</row>
    <row r="52" spans="1:12" ht="12.75">
      <c r="A52" s="56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</row>
    <row r="53" spans="1:12" ht="12.75">
      <c r="A53" s="56"/>
      <c r="B53" s="49"/>
      <c r="C53" s="177" t="s">
        <v>1146</v>
      </c>
      <c r="D53" s="19">
        <f>IF(D46=0,0,VLOOKUP(CHOOSE((D16+1),5,6,6),Tables!$D$128:$Z$134,(D7+1+1)))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</row>
    <row r="54" spans="1:12" ht="12.75">
      <c r="A54" s="56"/>
      <c r="B54" s="49"/>
      <c r="C54" s="177" t="s">
        <v>1152</v>
      </c>
      <c r="D54" s="19">
        <f>IF(D45=0,0,IF(Design!E234&gt;0,14,7))*D63</f>
        <v>0</v>
      </c>
      <c r="E54" s="19">
        <f>IF(D45&gt;0,0.2,0)</f>
        <v>0</v>
      </c>
      <c r="F54" s="106"/>
      <c r="G54" s="106"/>
      <c r="H54" s="69">
        <f>CHOOSE((D9+1),0,0,0,0,0.0001,0.0002,0.0003,0.0005,0.00075,0.001,0.0015,0.0015,0.0015,0.002,0.002,0.002,0.002,0.0025,0.0025,0.0025,0.0025,0.003)*IF(D45=0,0,1)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</row>
    <row r="55" spans="1:12" ht="12.75">
      <c r="A55" s="56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</row>
    <row r="56" spans="1:12" ht="12.75">
      <c r="A56" s="56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</row>
    <row r="57" spans="1:12" ht="12.75">
      <c r="A57" s="56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</row>
    <row r="58" spans="1:12" ht="12.75">
      <c r="A58" s="56"/>
      <c r="B58" s="49"/>
      <c r="C58" s="260" t="s">
        <v>1154</v>
      </c>
      <c r="D58" s="144">
        <f>D55+D41*D44</f>
        <v>1235.3981633974481</v>
      </c>
      <c r="E58" s="255"/>
      <c r="F58" s="255"/>
      <c r="G58" s="255"/>
      <c r="H58" s="98"/>
      <c r="I58" s="83"/>
      <c r="J58" s="56"/>
      <c r="K58" s="56"/>
      <c r="L58" s="56"/>
    </row>
    <row r="59" spans="1:12" ht="12.75">
      <c r="A59" s="56"/>
      <c r="B59" s="49"/>
      <c r="C59" s="260" t="s">
        <v>1155</v>
      </c>
      <c r="D59" s="144">
        <f>E55+(E41*D44)</f>
        <v>1439.0486225480863</v>
      </c>
      <c r="E59" s="255"/>
      <c r="F59" s="255"/>
      <c r="G59" s="255"/>
      <c r="H59" s="98"/>
      <c r="I59" s="83"/>
      <c r="J59" s="56"/>
      <c r="K59" s="56"/>
      <c r="L59" s="56"/>
    </row>
    <row r="60" spans="1:12" ht="12.75">
      <c r="A60" s="56"/>
      <c r="B60" s="49"/>
      <c r="C60" s="260" t="s">
        <v>1156</v>
      </c>
      <c r="D60" s="144">
        <f>CHOOSE((D$8+1),CHOOSE((D$23+1),D20*D$12^2,10,16,90,150),CHOOSE((((D$23+1)-1)+1),D20*D12^2,0,0,90,150),D20*D$12^2,D20*D$12^2,D20*D$12^2)*D44</f>
        <v>25</v>
      </c>
      <c r="E60" s="255"/>
      <c r="F60" s="255"/>
      <c r="G60" s="255"/>
      <c r="H60" s="98"/>
      <c r="I60" s="83"/>
      <c r="J60" s="56"/>
      <c r="K60" s="56"/>
      <c r="L60" s="56"/>
    </row>
    <row r="61" spans="1:12" ht="12.75">
      <c r="A61" s="56"/>
      <c r="B61" s="49"/>
      <c r="C61" s="260" t="s">
        <v>1157</v>
      </c>
      <c r="D61" s="144">
        <f>G55+(G41*D44)</f>
        <v>444.77774444444447</v>
      </c>
      <c r="E61" s="255"/>
      <c r="F61" s="255"/>
      <c r="G61" s="255"/>
      <c r="H61" s="98"/>
      <c r="I61" s="83"/>
      <c r="J61" s="56"/>
      <c r="K61" s="56"/>
      <c r="L61" s="56"/>
    </row>
    <row r="62" spans="1:12" ht="12.75">
      <c r="A62" s="56"/>
      <c r="B62" s="49"/>
      <c r="C62" s="260" t="s">
        <v>1158</v>
      </c>
      <c r="D62" s="116">
        <f>H55+(H41*D44)</f>
        <v>117.53681633974485</v>
      </c>
      <c r="E62" s="255"/>
      <c r="F62" s="255"/>
      <c r="G62" s="255"/>
      <c r="H62" s="98"/>
      <c r="I62" s="83"/>
      <c r="J62" s="56"/>
      <c r="K62" s="56"/>
      <c r="L62" s="56"/>
    </row>
    <row r="63" spans="1:12" ht="12.75">
      <c r="A63" s="56"/>
      <c r="B63" s="49"/>
      <c r="C63" s="261" t="s">
        <v>1159</v>
      </c>
      <c r="D63" s="146">
        <f>D17*D44</f>
        <v>3</v>
      </c>
      <c r="E63" s="255"/>
      <c r="F63" s="255"/>
      <c r="G63" s="255"/>
      <c r="H63" s="98"/>
      <c r="I63" s="83"/>
      <c r="J63" s="56"/>
      <c r="K63" s="56"/>
      <c r="L63" s="56"/>
    </row>
    <row r="64" spans="1:12" ht="12.75">
      <c r="A64" s="56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</row>
    <row r="65" spans="1:12" ht="11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1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1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1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1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1:12" ht="11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1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1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1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1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1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1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1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1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1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1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11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1:12" ht="11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1:12" ht="11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ht="11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1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1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1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11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N8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8" width="14.421875" style="0" customWidth="1"/>
    <col min="9" max="9" width="1.7109375" style="0" customWidth="1"/>
    <col min="10" max="10" width="60.00390625" style="0" customWidth="1"/>
  </cols>
  <sheetData>
    <row r="1" spans="1:14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96"/>
      <c r="N1" s="196"/>
    </row>
    <row r="2" spans="1:14" ht="15.75">
      <c r="A2" s="56"/>
      <c r="B2" s="182"/>
      <c r="C2" s="246" t="s">
        <v>1226</v>
      </c>
      <c r="D2" s="248"/>
      <c r="E2" s="248"/>
      <c r="F2" s="248"/>
      <c r="G2" s="248"/>
      <c r="H2" s="248"/>
      <c r="I2" s="251"/>
      <c r="J2" s="56"/>
      <c r="K2" s="56"/>
      <c r="L2" s="56"/>
      <c r="M2" s="196"/>
      <c r="N2" s="196"/>
    </row>
    <row r="3" spans="1:14" ht="12.75">
      <c r="A3" s="56"/>
      <c r="B3" s="47"/>
      <c r="C3" s="52"/>
      <c r="D3" s="52"/>
      <c r="E3" s="52"/>
      <c r="F3" s="52"/>
      <c r="G3" s="52"/>
      <c r="H3" s="52"/>
      <c r="I3" s="83"/>
      <c r="J3" s="56"/>
      <c r="K3" s="56"/>
      <c r="L3" s="56"/>
      <c r="M3" s="196"/>
      <c r="N3" s="196"/>
    </row>
    <row r="4" spans="1:14" ht="12.75">
      <c r="A4" s="56"/>
      <c r="B4" s="47"/>
      <c r="C4" s="40" t="s">
        <v>1115</v>
      </c>
      <c r="D4" s="310" t="s">
        <v>1227</v>
      </c>
      <c r="E4" s="230"/>
      <c r="F4" s="231"/>
      <c r="G4" s="52"/>
      <c r="H4" s="52"/>
      <c r="I4" s="83"/>
      <c r="J4" s="56"/>
      <c r="K4" s="56"/>
      <c r="L4" s="56"/>
      <c r="M4" s="196"/>
      <c r="N4" s="196"/>
    </row>
    <row r="5" spans="1:14" ht="12.75">
      <c r="A5" s="56"/>
      <c r="B5" s="47"/>
      <c r="C5" s="52"/>
      <c r="D5" s="52"/>
      <c r="E5" s="52"/>
      <c r="F5" s="52"/>
      <c r="G5" s="52"/>
      <c r="H5" s="52"/>
      <c r="I5" s="83"/>
      <c r="J5" s="56"/>
      <c r="K5" s="56"/>
      <c r="L5" s="56"/>
      <c r="M5" s="196"/>
      <c r="N5" s="196"/>
    </row>
    <row r="6" spans="1:14" ht="12.75">
      <c r="A6" s="56"/>
      <c r="B6" s="47"/>
      <c r="C6" s="205" t="s">
        <v>1216</v>
      </c>
      <c r="D6" s="210"/>
      <c r="E6" s="210"/>
      <c r="F6" s="212"/>
      <c r="G6" s="52"/>
      <c r="H6" s="52"/>
      <c r="I6" s="83"/>
      <c r="J6" s="56"/>
      <c r="K6" s="56"/>
      <c r="L6" s="56"/>
      <c r="M6" s="196"/>
      <c r="N6" s="196"/>
    </row>
    <row r="7" spans="1:14" ht="12.75">
      <c r="A7" s="56"/>
      <c r="B7" s="47"/>
      <c r="C7" s="161" t="s">
        <v>903</v>
      </c>
      <c r="D7" s="25">
        <v>12</v>
      </c>
      <c r="E7" s="154"/>
      <c r="F7" s="172"/>
      <c r="G7" s="52"/>
      <c r="H7" s="52"/>
      <c r="I7" s="83"/>
      <c r="J7" s="56"/>
      <c r="K7" s="56"/>
      <c r="L7" s="56"/>
      <c r="M7" s="196"/>
      <c r="N7" s="196"/>
    </row>
    <row r="8" spans="1:14" ht="12.75">
      <c r="A8" s="56"/>
      <c r="B8" s="47"/>
      <c r="C8" s="161" t="s">
        <v>1217</v>
      </c>
      <c r="D8" s="25">
        <v>4</v>
      </c>
      <c r="E8" s="222" t="str">
        <f>CHOOSE((D8+1),"Turret","Bay","Fixed","Parallel","Spinal")</f>
        <v>Spinal</v>
      </c>
      <c r="F8" s="226"/>
      <c r="G8" s="52"/>
      <c r="H8" s="52"/>
      <c r="I8" s="83"/>
      <c r="J8" s="56"/>
      <c r="K8" s="56"/>
      <c r="L8" s="56"/>
      <c r="M8" s="196"/>
      <c r="N8" s="196"/>
    </row>
    <row r="9" spans="1:14" ht="12.75">
      <c r="A9" s="56"/>
      <c r="B9" s="47"/>
      <c r="C9" s="161" t="s">
        <v>887</v>
      </c>
      <c r="D9" s="25">
        <v>0</v>
      </c>
      <c r="E9" s="163" t="str">
        <f>CHOOSE((D9+1),"Linear","Toroidal")</f>
        <v>Linear</v>
      </c>
      <c r="F9" s="216"/>
      <c r="G9" s="52"/>
      <c r="H9" s="52"/>
      <c r="I9" s="83"/>
      <c r="J9" s="56"/>
      <c r="K9" s="56"/>
      <c r="L9" s="56"/>
      <c r="M9" s="196"/>
      <c r="N9" s="196"/>
    </row>
    <row r="10" spans="1:14" ht="12.75">
      <c r="A10" s="56"/>
      <c r="B10" s="47"/>
      <c r="C10" s="161" t="s">
        <v>1218</v>
      </c>
      <c r="D10" s="25">
        <v>100</v>
      </c>
      <c r="E10" s="27" t="str">
        <f>CHOOSE((D8+1),CHOOSE((D23+1),IF(D10&gt;Tables!F39,"Size Violation"," "),IF(D10&gt;4.18,"Size violation"," "),IF(D10&gt;5.26,"Size Violation"," "),IF(D10&gt;12,"Size Violation"," "),IF(D10&gt;16,"Size Violation"," ")),CHOOSE((((D23+1)-1)+1),IF(D10&gt;Tables!F39,"Size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Size Violation</v>
      </c>
      <c r="F10" s="216"/>
      <c r="G10" s="52"/>
      <c r="H10" s="52"/>
      <c r="I10" s="83"/>
      <c r="J10" s="56"/>
      <c r="K10" s="56"/>
      <c r="L10" s="56"/>
      <c r="M10" s="196"/>
      <c r="N10" s="196"/>
    </row>
    <row r="11" spans="1:14" ht="12.75">
      <c r="A11" s="56"/>
      <c r="B11" s="47"/>
      <c r="C11" s="161" t="s">
        <v>1219</v>
      </c>
      <c r="D11" s="30">
        <f>IF(D9=0,0,ROUND(D10/(2*PI()),2))</f>
        <v>0</v>
      </c>
      <c r="E11" s="168"/>
      <c r="F11" s="172"/>
      <c r="G11" s="52"/>
      <c r="H11" s="52"/>
      <c r="I11" s="83"/>
      <c r="J11" s="56"/>
      <c r="K11" s="56"/>
      <c r="L11" s="56"/>
      <c r="M11" s="196"/>
      <c r="N11" s="196"/>
    </row>
    <row r="12" spans="1:14" ht="12.75">
      <c r="A12" s="56"/>
      <c r="B12" s="47"/>
      <c r="C12" s="161" t="s">
        <v>1220</v>
      </c>
      <c r="D12" s="25">
        <v>12.5</v>
      </c>
      <c r="E12" s="163" t="str">
        <f>IF(D12&gt;D10/8,"Size Violation"," ")</f>
        <v> </v>
      </c>
      <c r="F12" s="216"/>
      <c r="G12" s="52"/>
      <c r="H12" s="52"/>
      <c r="I12" s="83"/>
      <c r="J12" s="56"/>
      <c r="K12" s="56"/>
      <c r="L12" s="56"/>
      <c r="M12" s="196"/>
      <c r="N12" s="196"/>
    </row>
    <row r="13" spans="1:14" ht="12.75">
      <c r="A13" s="56"/>
      <c r="B13" s="47"/>
      <c r="C13" s="161" t="s">
        <v>1221</v>
      </c>
      <c r="D13" s="25">
        <v>10000</v>
      </c>
      <c r="E13" s="163" t="str">
        <f>IF(D13&gt;D10^2,"Energy limit exceeded"," ")</f>
        <v> </v>
      </c>
      <c r="F13" s="216"/>
      <c r="G13" s="52"/>
      <c r="H13" s="52"/>
      <c r="I13" s="83"/>
      <c r="J13" s="56"/>
      <c r="K13" s="56"/>
      <c r="L13" s="56"/>
      <c r="M13" s="196"/>
      <c r="N13" s="196"/>
    </row>
    <row r="14" spans="1:14" ht="12.75">
      <c r="A14" s="56"/>
      <c r="B14" s="47"/>
      <c r="C14" s="161" t="s">
        <v>1222</v>
      </c>
      <c r="D14" s="25">
        <v>0</v>
      </c>
      <c r="E14" s="168"/>
      <c r="F14" s="172"/>
      <c r="G14" s="52"/>
      <c r="H14" s="52"/>
      <c r="I14" s="83"/>
      <c r="J14" s="56"/>
      <c r="K14" s="56"/>
      <c r="L14" s="56"/>
      <c r="M14" s="196"/>
      <c r="N14" s="196"/>
    </row>
    <row r="15" spans="1:14" ht="12.75">
      <c r="A15" s="56"/>
      <c r="B15" s="47"/>
      <c r="C15" s="276" t="s">
        <v>1123</v>
      </c>
      <c r="D15" s="281">
        <f>ROUND(Tables!E424,0)</f>
        <v>9203885</v>
      </c>
      <c r="E15" s="168"/>
      <c r="F15" s="172"/>
      <c r="G15" s="52"/>
      <c r="H15" s="52"/>
      <c r="I15" s="83"/>
      <c r="J15" s="56"/>
      <c r="K15" s="56"/>
      <c r="L15" s="56"/>
      <c r="M15" s="196"/>
      <c r="N15" s="196"/>
    </row>
    <row r="16" spans="1:14" ht="12.75">
      <c r="A16" s="56"/>
      <c r="B16" s="47"/>
      <c r="C16" s="276" t="s">
        <v>1124</v>
      </c>
      <c r="D16" s="25">
        <v>2</v>
      </c>
      <c r="E16" s="27" t="str">
        <f>CHOOSE(((D16+1-1)+1),"Short (30,000km)","Normal (150,000km)","Extreme (300,000km)")</f>
        <v>Extreme (300,000km)</v>
      </c>
      <c r="F16" s="226"/>
      <c r="G16" s="52"/>
      <c r="H16" s="52"/>
      <c r="I16" s="83"/>
      <c r="J16" s="56"/>
      <c r="K16" s="56"/>
      <c r="L16" s="56"/>
      <c r="M16" s="196"/>
      <c r="N16" s="196"/>
    </row>
    <row r="17" spans="1:14" ht="12.75">
      <c r="A17" s="56"/>
      <c r="B17" s="47"/>
      <c r="C17" s="47" t="s">
        <v>1223</v>
      </c>
      <c r="D17" s="30">
        <f>MAX(ROUND(0.01*Tables!$E$148*D34,0),1)</f>
        <v>41</v>
      </c>
      <c r="E17" s="168"/>
      <c r="F17" s="172"/>
      <c r="G17" s="52"/>
      <c r="H17" s="52"/>
      <c r="I17" s="83"/>
      <c r="J17" s="56"/>
      <c r="K17" s="56"/>
      <c r="L17" s="56"/>
      <c r="M17" s="196"/>
      <c r="N17" s="196"/>
    </row>
    <row r="18" spans="1:14" ht="12.75">
      <c r="A18" s="56"/>
      <c r="B18" s="47"/>
      <c r="C18" s="177" t="s">
        <v>1126</v>
      </c>
      <c r="D18" s="25">
        <v>0</v>
      </c>
      <c r="E18" s="222" t="str">
        <f>IF(D18=0,"No","Yes")</f>
        <v>No</v>
      </c>
      <c r="F18" s="226"/>
      <c r="G18" s="52"/>
      <c r="H18" s="52"/>
      <c r="I18" s="83"/>
      <c r="J18" s="56"/>
      <c r="K18" s="56"/>
      <c r="L18" s="56"/>
      <c r="M18" s="196"/>
      <c r="N18" s="196"/>
    </row>
    <row r="19" spans="1:14" ht="12.75">
      <c r="A19" s="56"/>
      <c r="B19" s="47"/>
      <c r="C19" s="177" t="s">
        <v>1127</v>
      </c>
      <c r="D19" s="25">
        <v>0</v>
      </c>
      <c r="E19" s="222" t="str">
        <f>IF(D19=0,"No","Yes")</f>
        <v>No</v>
      </c>
      <c r="F19" s="226"/>
      <c r="G19" s="52"/>
      <c r="H19" s="52"/>
      <c r="I19" s="83"/>
      <c r="J19" s="56"/>
      <c r="K19" s="56"/>
      <c r="L19" s="56"/>
      <c r="M19" s="196"/>
      <c r="N19" s="196"/>
    </row>
    <row r="20" spans="1:14" ht="12.75">
      <c r="A20" s="56"/>
      <c r="B20" s="47"/>
      <c r="C20" s="161" t="s">
        <v>1148</v>
      </c>
      <c r="D20" s="25">
        <v>1</v>
      </c>
      <c r="E20" s="163">
        <f>IF(D20&gt;10,"Error: Max 10","")</f>
      </c>
      <c r="F20" s="216"/>
      <c r="G20" s="52"/>
      <c r="H20" s="52"/>
      <c r="I20" s="83"/>
      <c r="J20" s="56"/>
      <c r="K20" s="56"/>
      <c r="L20" s="56"/>
      <c r="M20" s="196"/>
      <c r="N20" s="196"/>
    </row>
    <row r="21" spans="1:14" ht="12.75">
      <c r="A21" s="56"/>
      <c r="B21" s="47"/>
      <c r="C21" s="161" t="s">
        <v>1224</v>
      </c>
      <c r="D21" s="25">
        <v>50</v>
      </c>
      <c r="E21" s="410">
        <f>IF(D21&gt;800,"Error: Max ROF is 800","")</f>
      </c>
      <c r="F21" s="216"/>
      <c r="G21" s="52"/>
      <c r="H21" s="52"/>
      <c r="I21" s="83"/>
      <c r="J21" s="56"/>
      <c r="K21" s="56"/>
      <c r="L21" s="56"/>
      <c r="M21" s="196"/>
      <c r="N21" s="196"/>
    </row>
    <row r="22" spans="1:14" ht="12.75">
      <c r="A22" s="56"/>
      <c r="B22" s="47"/>
      <c r="C22" s="161" t="s">
        <v>1131</v>
      </c>
      <c r="D22" s="25">
        <v>0</v>
      </c>
      <c r="E22" s="168"/>
      <c r="F22" s="172"/>
      <c r="G22" s="52"/>
      <c r="H22" s="52"/>
      <c r="I22" s="83"/>
      <c r="J22" s="56"/>
      <c r="K22" s="56"/>
      <c r="L22" s="56"/>
      <c r="M22" s="196"/>
      <c r="N22" s="196"/>
    </row>
    <row r="23" spans="1:14" ht="12.75">
      <c r="A23" s="56"/>
      <c r="B23" s="47"/>
      <c r="C23" s="180" t="s">
        <v>1132</v>
      </c>
      <c r="D23" s="31">
        <v>0</v>
      </c>
      <c r="E23" s="224" t="str">
        <f>CHOOSE((D23+1),"None","42m turret","84m turret","50std bay","100std bay")</f>
        <v>None</v>
      </c>
      <c r="F23" s="229"/>
      <c r="G23" s="52"/>
      <c r="H23" s="52"/>
      <c r="I23" s="83"/>
      <c r="J23" s="56"/>
      <c r="K23" s="56"/>
      <c r="L23" s="56"/>
      <c r="M23" s="196"/>
      <c r="N23" s="196"/>
    </row>
    <row r="24" spans="1:14" ht="12.75">
      <c r="A24" s="56"/>
      <c r="B24" s="47"/>
      <c r="C24" s="52"/>
      <c r="D24" s="52"/>
      <c r="E24" s="52"/>
      <c r="F24" s="52"/>
      <c r="G24" s="52"/>
      <c r="H24" s="52"/>
      <c r="I24" s="83"/>
      <c r="J24" s="56"/>
      <c r="K24" s="56"/>
      <c r="L24" s="56"/>
      <c r="M24" s="196"/>
      <c r="N24" s="196"/>
    </row>
    <row r="25" spans="1:14" ht="12.75">
      <c r="A25" s="56"/>
      <c r="B25" s="47"/>
      <c r="C25" s="205" t="s">
        <v>556</v>
      </c>
      <c r="D25" s="210"/>
      <c r="E25" s="207" t="s">
        <v>1135</v>
      </c>
      <c r="F25" s="208"/>
      <c r="G25" s="52"/>
      <c r="H25" s="52"/>
      <c r="I25" s="83"/>
      <c r="J25" s="56"/>
      <c r="K25" s="56"/>
      <c r="L25" s="56"/>
      <c r="M25" s="196"/>
      <c r="N25" s="196"/>
    </row>
    <row r="26" spans="1:14" ht="12.75">
      <c r="A26" s="465"/>
      <c r="B26" s="476"/>
      <c r="C26" s="254" t="s">
        <v>1136</v>
      </c>
      <c r="D26" s="475"/>
      <c r="E26" s="498">
        <f>CHOOSE(($D$9+1),MIN($D$13,ROUND($D$13/((CHOOSE(($D$16+1),30000,150000,150000)/Tables!$E$424)^2),2)),MIN($D$13*SQRT($D$14),ROUND(($D$13*SQRT($D$14))/((CHOOSE(($D$16+1),30000,150000,150000)/Tables!$E$424)^2),2)))</f>
        <v>10000</v>
      </c>
      <c r="F26" s="226"/>
      <c r="G26" s="462"/>
      <c r="H26" s="462"/>
      <c r="I26" s="464"/>
      <c r="J26" s="465"/>
      <c r="K26" s="465"/>
      <c r="L26" s="465"/>
      <c r="M26" s="466"/>
      <c r="N26" s="466"/>
    </row>
    <row r="27" spans="1:14" ht="12.75">
      <c r="A27" s="56"/>
      <c r="B27" s="47"/>
      <c r="C27" s="254" t="s">
        <v>1137</v>
      </c>
      <c r="D27" s="469">
        <f>CHOOSE((D$9+1),MIN($D$13,ROUND($D$13/((CHOOSE((D16+1),30000,300000,300000)/Tables!$E$424)^2),2)),MIN($D$13*SQRT(D$14),ROUND(($D$13*SQRT(D$14))/((CHOOSE((D16+1),30000,300000,300000)/Tables!$E$424)^2),2)))</f>
        <v>10000</v>
      </c>
      <c r="E27" s="498">
        <f>IF($D$16=0,0,CHOOSE(($D$9+1),MIN($D$13,ROUND($D$13/((CHOOSE(($D$16+1),30000,300000,300000)/Tables!$E$424)^2),2)),MIN($D$13*SQRT($D$14),ROUND(($D$13*SQRT($D$14))/((CHOOSE(($D$16+1),30000,300000,300000)/Tables!$E$424)^2),2))))</f>
        <v>10000</v>
      </c>
      <c r="F27" s="226"/>
      <c r="G27" s="52"/>
      <c r="H27" s="52"/>
      <c r="I27" s="83"/>
      <c r="J27" s="56"/>
      <c r="K27" s="56"/>
      <c r="L27" s="56"/>
      <c r="M27" s="196"/>
      <c r="N27" s="196"/>
    </row>
    <row r="28" spans="1:14" ht="12.75">
      <c r="A28" s="56"/>
      <c r="B28" s="47"/>
      <c r="C28" s="254" t="s">
        <v>1138</v>
      </c>
      <c r="D28" s="469">
        <f>CHOOSE((D$9+1),MIN($D$13,ROUND($D$13/(((CHOOSE((D16+1),30000,300000,300000)*2)/Tables!$E$424)^2),2)),MIN($D$13*SQRT(D$14),ROUND(($D$13*SQRT(D$14))/(((CHOOSE((D16+1),30000,300000,300000)*2)/Tables!$E$424)^2),2)))</f>
        <v>10000</v>
      </c>
      <c r="E28" s="498">
        <f>IF($D$16=0,0,CHOOSE(($D$9+1),MIN($D$13,ROUND($D$13/((CHOOSE(($D$16+1),30000,600000,600000)/Tables!$E$424)^2),2)),MIN($D$13*SQRT($D$14),ROUND(($D$13*SQRT($D$14))/((CHOOSE(($D$16+1),30000,600000,600000)/Tables!$E$424)^2),2))))</f>
        <v>10000</v>
      </c>
      <c r="F28" s="226"/>
      <c r="G28" s="52"/>
      <c r="H28" s="52"/>
      <c r="I28" s="156"/>
      <c r="J28" s="56"/>
      <c r="K28" s="56"/>
      <c r="L28" s="56"/>
      <c r="M28" s="196"/>
      <c r="N28" s="196"/>
    </row>
    <row r="29" spans="1:14" ht="12.75">
      <c r="A29" s="56"/>
      <c r="B29" s="47"/>
      <c r="C29" s="254" t="s">
        <v>1139</v>
      </c>
      <c r="D29" s="469">
        <f>CHOOSE((D$9+1),MIN($D$13,ROUND($D$13/(((CHOOSE((D16+1),30000,300000,300000)*4)/Tables!$E$424)^2),2)),MIN($D$13*SQRT(D$14),ROUND(($D$13*SQRT(D$14))/(((CHOOSE((D16+1),30000,300000,300000)*4)/Tables!$E$424)^2),2)))</f>
        <v>10000</v>
      </c>
      <c r="E29" s="498">
        <f>IF($D$16=0,0,CHOOSE(($D$9+1),MIN($D$13,ROUND($D$13/((CHOOSE(($D$16+1),30000,1200000,1200000)/Tables!$E$424)^2),2)),MIN($D$13*SQRT($D$14),ROUND(($D$13*SQRT($D$14))/((CHOOSE(($D$16+1),30000,1200000,1200000)/Tables!$E$424)^2),2))))</f>
        <v>10000</v>
      </c>
      <c r="F29" s="226"/>
      <c r="G29" s="52"/>
      <c r="H29" s="52"/>
      <c r="I29" s="83"/>
      <c r="J29" s="56"/>
      <c r="K29" s="56"/>
      <c r="L29" s="56"/>
      <c r="M29" s="196"/>
      <c r="N29" s="196"/>
    </row>
    <row r="30" spans="1:14" ht="12.75">
      <c r="A30" s="56"/>
      <c r="B30" s="47"/>
      <c r="C30" s="254" t="s">
        <v>1140</v>
      </c>
      <c r="D30" s="469">
        <f>CHOOSE((D$9+1),MIN($D$13,ROUND($D$13/(((CHOOSE((D16+1),30000,300000,300000)*8)/Tables!$E$424)^2),2)),MIN($D$13*SQRT(D$14),ROUND(($D$13*SQRT(D$14))/(((CHOOSE((D16+1),30000,300000,300000)*8)/Tables!$E$424)^2),2)))</f>
        <v>10000</v>
      </c>
      <c r="E30" s="498">
        <f>IF($D$16&lt;2,0,CHOOSE(($D$9+1),MIN($D$13,ROUND($D$13/((CHOOSE(($D$16+1),30000,2400000,2400000)/Tables!$E$424)^2),2)),MIN($D$13*SQRT($D$14),ROUND(($D$13*SQRT($D$14))/((CHOOSE(($D$16+1),30000,2400000,2400000)/Tables!$E$424)^2),2))))</f>
        <v>10000</v>
      </c>
      <c r="F30" s="226"/>
      <c r="G30" s="52"/>
      <c r="H30" s="52"/>
      <c r="I30" s="83"/>
      <c r="J30" s="56"/>
      <c r="K30" s="56"/>
      <c r="L30" s="56"/>
      <c r="M30" s="196"/>
      <c r="N30" s="196"/>
    </row>
    <row r="31" spans="1:14" ht="12.75">
      <c r="A31" s="56"/>
      <c r="B31" s="47"/>
      <c r="C31" s="264" t="s">
        <v>1134</v>
      </c>
      <c r="D31" s="470" t="str">
        <f>CONCATENATE("(",IF(D19=0,"+0",CHOOSE((D7+1),"+0","+0","+0","+0","+0","+0","+0","+0","+0","+0","+3","+3","+4","+4","+5","+6","+6","+7","+7","+8","+8","+9")),") 2/",ROUND(Tables!F429,0),"-",ROUND(Tables!F430,0),"-",ROUND(Tables!F431,0),"-",ROUND(Tables!F432,0))</f>
        <v>(+0) 2/10-10-10-10</v>
      </c>
      <c r="E31" s="224" t="str">
        <f>CONCATENATE("(",IF(Tables!$E$438&gt;=0,"+",""),Tables!$E$438,IF($D$19=0,"",CHOOSE((PA1!$D$7+1),"","","","","","","","","","",",+3",",+3",",+4",",+4",",+5",",+6",",+6",",+7",",+7",",+8",",+8",",+9")),") ",IF($E$26=0,"",CONCATENATE(Tables!$H$433,":",Tables!$F$433))," ",IF($E$27=0,"",CONCATENATE(Tables!$H$434,":",Tables!$F$434))," ",IF($E$28=0,"",CONCATENATE(Tables!$H$435,":",Tables!$F$435))," ",IF($E$29=0,"",CONCATENATE(Tables!$H$436,":",Tables!$F$436))," ",IF($E$30=0,"",CONCATENATE(Tables!$H$437,":",Tables!$F$437))," ")</f>
        <v>(+0) 16:16 16:16 16:16 16:16 16:16 </v>
      </c>
      <c r="F31" s="229"/>
      <c r="G31" s="52"/>
      <c r="H31" s="52"/>
      <c r="I31" s="83"/>
      <c r="J31" s="56"/>
      <c r="K31" s="56"/>
      <c r="L31" s="56"/>
      <c r="M31" s="196"/>
      <c r="N31" s="196"/>
    </row>
    <row r="32" spans="1:14" ht="12.75">
      <c r="A32" s="56"/>
      <c r="B32" s="47"/>
      <c r="C32" s="52"/>
      <c r="D32" s="52"/>
      <c r="E32" s="52"/>
      <c r="F32" s="52"/>
      <c r="G32" s="52"/>
      <c r="H32" s="52"/>
      <c r="I32" s="83"/>
      <c r="J32" s="56"/>
      <c r="K32" s="56"/>
      <c r="L32" s="56"/>
      <c r="M32" s="196"/>
      <c r="N32" s="196"/>
    </row>
    <row r="33" spans="1:14" ht="12.75">
      <c r="A33" s="56"/>
      <c r="B33" s="47"/>
      <c r="C33" s="205" t="s">
        <v>1141</v>
      </c>
      <c r="D33" s="207" t="s">
        <v>910</v>
      </c>
      <c r="E33" s="207" t="s">
        <v>911</v>
      </c>
      <c r="F33" s="207" t="s">
        <v>912</v>
      </c>
      <c r="G33" s="207" t="s">
        <v>913</v>
      </c>
      <c r="H33" s="142" t="s">
        <v>1142</v>
      </c>
      <c r="I33" s="83"/>
      <c r="J33" s="56"/>
      <c r="K33" s="56"/>
      <c r="L33" s="56"/>
      <c r="M33" s="196"/>
      <c r="N33" s="196"/>
    </row>
    <row r="34" spans="1:14" ht="12.75">
      <c r="A34" s="56"/>
      <c r="B34" s="47"/>
      <c r="C34" s="177" t="s">
        <v>1225</v>
      </c>
      <c r="D34" s="19">
        <f>CHOOSE((D9+1),D10*Tables!E420,PI()^2*D11*D12^2)*D20*Tables!E425</f>
        <v>12271.846303085129</v>
      </c>
      <c r="E34" s="18">
        <f>D34*CHOOSE((D7+1),0,0,0,0,0,0,0,0,1.2,1,1,0.75,0.75,0.75,0.75,0.75,0.6,0.5,0.4,0.4,0.3,0.3)</f>
        <v>9203.884727313847</v>
      </c>
      <c r="F34" s="18">
        <f>Tables!E420*D20</f>
        <v>122.7184630308513</v>
      </c>
      <c r="G34" s="18">
        <f>(D21*Tables!E426*D20*IF(D9=0,1,D14))/1800</f>
        <v>1388.888888888889</v>
      </c>
      <c r="H34" s="116">
        <f>D34*0.1</f>
        <v>1227.1846303085129</v>
      </c>
      <c r="I34" s="83"/>
      <c r="J34" s="56"/>
      <c r="K34" s="56"/>
      <c r="L34" s="56"/>
      <c r="M34" s="196"/>
      <c r="N34" s="196"/>
    </row>
    <row r="35" spans="1:14" ht="12.75">
      <c r="A35" s="56"/>
      <c r="B35" s="47"/>
      <c r="C35" s="177" t="s">
        <v>961</v>
      </c>
      <c r="D35" s="19">
        <f>VLOOKUP(CHOOSE((D16+1),5,6,6),Tables!$D$119:$Z$125,(D7+1+1))*D20</f>
        <v>16.67</v>
      </c>
      <c r="E35" s="19">
        <f>D35</f>
        <v>16.67</v>
      </c>
      <c r="F35" s="148"/>
      <c r="G35" s="148"/>
      <c r="H35" s="120">
        <f>D35*0.1</f>
        <v>1.6670000000000003</v>
      </c>
      <c r="I35" s="83"/>
      <c r="J35" s="56"/>
      <c r="K35" s="56"/>
      <c r="L35" s="56"/>
      <c r="M35" s="196"/>
      <c r="N35" s="196"/>
    </row>
    <row r="36" spans="1:14" ht="12.75">
      <c r="A36" s="56"/>
      <c r="B36" s="47"/>
      <c r="C36" s="177" t="s">
        <v>954</v>
      </c>
      <c r="D36" s="18">
        <f>Tables!E426*CHOOSE((D7+1),0,0,0,0,0,0,0,0.25,0.125,0.1,0.08,0.06,0.05,0.045,0.04,0.035,0.03,0.025,0.02,0.015,0.01,0.005)*D20</f>
        <v>2500</v>
      </c>
      <c r="E36" s="18">
        <f>D36*2</f>
        <v>5000</v>
      </c>
      <c r="F36" s="148"/>
      <c r="G36" s="148"/>
      <c r="H36" s="116">
        <f>D36*0.01</f>
        <v>25</v>
      </c>
      <c r="I36" s="83"/>
      <c r="J36" s="56"/>
      <c r="K36" s="56"/>
      <c r="L36" s="56"/>
      <c r="M36" s="196"/>
      <c r="N36" s="196"/>
    </row>
    <row r="37" spans="1:14" ht="12.75">
      <c r="A37" s="56"/>
      <c r="B37" s="47"/>
      <c r="C37" s="177" t="s">
        <v>1145</v>
      </c>
      <c r="D37" s="18">
        <f>IF(D18=0,0,7)*D17</f>
        <v>0</v>
      </c>
      <c r="E37" s="18">
        <f>IF(D18=0,0,0.2)*D17</f>
        <v>0</v>
      </c>
      <c r="F37" s="148"/>
      <c r="G37" s="148"/>
      <c r="H37" s="69">
        <f>CHOOSE((D7+1),0,0,0,0,0.0001,0.0002,0.0003,0.0005,0.00075,0.001,0.0015,0.0015,0.0015,0.002,0.002,0.002,0.002,0.0025,0.0025,0.0025,0.0025,0.003)*IF(D18=0,0,D17)</f>
        <v>0</v>
      </c>
      <c r="I37" s="83"/>
      <c r="J37" s="56"/>
      <c r="K37" s="56"/>
      <c r="L37" s="56"/>
      <c r="M37" s="196"/>
      <c r="N37" s="196"/>
    </row>
    <row r="38" spans="1:14" ht="12.75">
      <c r="A38" s="56"/>
      <c r="B38" s="47"/>
      <c r="C38" s="177" t="s">
        <v>1146</v>
      </c>
      <c r="D38" s="19">
        <f>IF(D19=0,0,VLOOKUP(CHOOSE((D16+1),5,6,6),Tables!$D$128:$Z$134,(D7+1+1)))</f>
        <v>0</v>
      </c>
      <c r="E38" s="19">
        <f>D38</f>
        <v>0</v>
      </c>
      <c r="F38" s="106"/>
      <c r="G38" s="19">
        <f>D38*0.01</f>
        <v>0</v>
      </c>
      <c r="H38" s="120">
        <f>D38</f>
        <v>0</v>
      </c>
      <c r="I38" s="83"/>
      <c r="J38" s="56"/>
      <c r="K38" s="56"/>
      <c r="L38" s="56"/>
      <c r="M38" s="196"/>
      <c r="N38" s="196"/>
    </row>
    <row r="39" spans="1:14" ht="12.75">
      <c r="A39" s="56"/>
      <c r="B39" s="47"/>
      <c r="C39" s="276" t="s">
        <v>570</v>
      </c>
      <c r="D39" s="19">
        <f>Tables!E428*Tables!F428</f>
        <v>0</v>
      </c>
      <c r="E39" s="19">
        <f>$D$39*Tables!$F$10</f>
        <v>0</v>
      </c>
      <c r="F39" s="106"/>
      <c r="G39" s="19">
        <f>$D$39*Tables!$F$12</f>
        <v>0</v>
      </c>
      <c r="H39" s="120">
        <f>$D$39*Tables!$F$11</f>
        <v>0</v>
      </c>
      <c r="I39" s="83"/>
      <c r="J39" s="56"/>
      <c r="K39" s="56"/>
      <c r="L39" s="56"/>
      <c r="M39" s="196"/>
      <c r="N39" s="196"/>
    </row>
    <row r="40" spans="1:14" ht="12.75">
      <c r="A40" s="56"/>
      <c r="B40" s="47"/>
      <c r="C40" s="177" t="s">
        <v>1132</v>
      </c>
      <c r="D40" s="18">
        <f>IF(D23=0,0,CHOOSE((D23+1),0,42,84,700,1400)-SUM(D34:D39))</f>
        <v>0</v>
      </c>
      <c r="E40" s="237"/>
      <c r="F40" s="237"/>
      <c r="G40" s="148"/>
      <c r="H40" s="75"/>
      <c r="I40" s="83"/>
      <c r="J40" s="56"/>
      <c r="K40" s="56"/>
      <c r="L40" s="56"/>
      <c r="M40" s="196"/>
      <c r="N40" s="196"/>
    </row>
    <row r="41" spans="1:14" ht="12.75">
      <c r="A41" s="56"/>
      <c r="B41" s="47"/>
      <c r="C41" s="13" t="s">
        <v>341</v>
      </c>
      <c r="D41" s="105">
        <f>IF(D40&lt;0,#VALUE!,SUM(D34:D40))</f>
        <v>14788.516303085129</v>
      </c>
      <c r="E41" s="105">
        <f>SUM(E34:E40)</f>
        <v>14220.554727313847</v>
      </c>
      <c r="F41" s="105">
        <f>SUM(F34:F40)</f>
        <v>122.7184630308513</v>
      </c>
      <c r="G41" s="105">
        <f>SUM(G34:G40)</f>
        <v>1388.888888888889</v>
      </c>
      <c r="H41" s="139">
        <f>SUM(H34:H40)</f>
        <v>1253.8516303085128</v>
      </c>
      <c r="I41" s="83"/>
      <c r="J41" s="56"/>
      <c r="K41" s="56"/>
      <c r="L41" s="56"/>
      <c r="M41" s="196"/>
      <c r="N41" s="196"/>
    </row>
    <row r="42" spans="1:14" ht="12.75">
      <c r="A42" s="56"/>
      <c r="B42" s="47"/>
      <c r="C42" s="52"/>
      <c r="D42" s="52"/>
      <c r="E42" s="52"/>
      <c r="F42" s="52"/>
      <c r="G42" s="52"/>
      <c r="H42" s="52"/>
      <c r="I42" s="83"/>
      <c r="J42" s="56"/>
      <c r="K42" s="56"/>
      <c r="L42" s="56"/>
      <c r="M42" s="196"/>
      <c r="N42" s="196"/>
    </row>
    <row r="43" spans="1:14" ht="12.75">
      <c r="A43" s="56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  <c r="M43" s="196"/>
      <c r="N43" s="196"/>
    </row>
    <row r="44" spans="1:14" ht="12.75">
      <c r="A44" s="56"/>
      <c r="B44" s="49"/>
      <c r="C44" s="254" t="s">
        <v>1148</v>
      </c>
      <c r="D44" s="37">
        <v>1</v>
      </c>
      <c r="E44" s="110" t="str">
        <f>IF(D44*D20&gt;10,"Error: Max 10"," ")</f>
        <v> </v>
      </c>
      <c r="F44" s="228"/>
      <c r="G44" s="255"/>
      <c r="H44" s="98"/>
      <c r="I44" s="83"/>
      <c r="J44" s="56"/>
      <c r="K44" s="56"/>
      <c r="L44" s="56"/>
      <c r="M44" s="196"/>
      <c r="N44" s="196"/>
    </row>
    <row r="45" spans="1:14" ht="12.75">
      <c r="A45" s="56"/>
      <c r="B45" s="49"/>
      <c r="C45" s="177" t="s">
        <v>1149</v>
      </c>
      <c r="D45" s="30">
        <f>IF(D44&gt;1,IF(D18=0,1,0),0)</f>
        <v>0</v>
      </c>
      <c r="E45" s="110"/>
      <c r="F45" s="228"/>
      <c r="G45" s="255"/>
      <c r="H45" s="98"/>
      <c r="I45" s="83"/>
      <c r="J45" s="56"/>
      <c r="K45" s="56"/>
      <c r="L45" s="56"/>
      <c r="M45" s="196"/>
      <c r="N45" s="196"/>
    </row>
    <row r="46" spans="1:14" ht="12.75">
      <c r="A46" s="56"/>
      <c r="B46" s="49"/>
      <c r="C46" s="179" t="s">
        <v>1127</v>
      </c>
      <c r="D46" s="147">
        <f>IF(D44&gt;1,1,0)</f>
        <v>0</v>
      </c>
      <c r="E46" s="59"/>
      <c r="F46" s="229"/>
      <c r="G46" s="255"/>
      <c r="H46" s="98"/>
      <c r="I46" s="83"/>
      <c r="J46" s="56"/>
      <c r="K46" s="56"/>
      <c r="L46" s="56"/>
      <c r="M46" s="196"/>
      <c r="N46" s="196"/>
    </row>
    <row r="47" spans="1:14" ht="12.75">
      <c r="A47" s="56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  <c r="M47" s="196"/>
      <c r="N47" s="196"/>
    </row>
    <row r="48" spans="1:14" ht="12.75">
      <c r="A48" s="56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  <c r="M48" s="196"/>
      <c r="N48" s="196"/>
    </row>
    <row r="49" spans="1:14" ht="12.75">
      <c r="A49" s="465"/>
      <c r="B49" s="457"/>
      <c r="C49" s="484" t="s">
        <v>1134</v>
      </c>
      <c r="D49" s="485" t="str">
        <f>CONCATENATE("(",IF(D46+D19=0,"+0",CHOOSE((D7+1),"+0","+0","+0","+0","+0","+0","+0","+0","+0","+0","+3","+3","+4","+4","+5","+6","+6","+7","+7","+8","+8","+9")),") 2/",ROUND(Tables!G429,0),"-",ROUND(Tables!G430,0),"-",ROUND(Tables!G431,0),"-",ROUND(Tables!G432,0)," [",ROUND(D20*D44,0),",",ROUND(D21,0),"/",ROUND(Tables!E429,0),"-",ROUND(Tables!E430,0),"-",ROUND(Tables!E431,0),"-",ROUND(Tables!E432,0),"]",CHOOSE((D16+1)," (SR"," (LR"," (LR"),IF(D22=0,"",CONCATENATE(" /Ar:",ROUND(VLOOKUP(D22/1.43,Tables!A2:B61,2)*10,0)," [",ROUND(D22,0),"]")),")")</f>
        <v>(+0) 2/10-10-10-10 [1,50/710-710-710-710] (LR)</v>
      </c>
      <c r="E49" s="493"/>
      <c r="F49" s="492"/>
      <c r="G49" s="462"/>
      <c r="H49" s="463"/>
      <c r="I49" s="464"/>
      <c r="J49" s="465"/>
      <c r="K49" s="465"/>
      <c r="L49" s="465"/>
      <c r="M49" s="466"/>
      <c r="N49" s="466"/>
    </row>
    <row r="50" spans="1:14" ht="12.75">
      <c r="A50" s="56"/>
      <c r="B50" s="49"/>
      <c r="C50" s="264" t="s">
        <v>1135</v>
      </c>
      <c r="D50" s="224" t="str">
        <f>CONCATENATE("(",IF(Tables!$E$438&gt;=0,"+",""),Tables!$E$438,IF($D$19=0,"",CHOOSE((PA1!$D$7+1),"","","","","","","","","","",",+3",",+3",",+4",",+4",",+5",",+6",",+6",",+7",",+7",",+8",",+8",",+9")),") ",IF($E$26=0,"",CONCATENATE(Tables!$H$433,":",Tables!$G$433))," ",IF($E$27=0,"",CONCATENATE(Tables!$H$434,":",Tables!$G$434))," ",IF($E$28=0,"",CONCATENATE(Tables!$H$435,":",Tables!$G$435))," ",IF($E$29=0,"",CONCATENATE(Tables!$H$436,":",Tables!$G$436))," ",IF($E$30=0,"",CONCATENATE(Tables!$H$437,":",Tables!$G$437))," ")</f>
        <v>(+0) 16:16 16:16 16:16 16:16 16:16 </v>
      </c>
      <c r="E50" s="59"/>
      <c r="F50" s="214"/>
      <c r="G50" s="52"/>
      <c r="H50" s="98"/>
      <c r="I50" s="83"/>
      <c r="J50" s="56"/>
      <c r="K50" s="56"/>
      <c r="L50" s="56"/>
      <c r="M50" s="196"/>
      <c r="N50" s="196"/>
    </row>
    <row r="51" spans="1:14" ht="12.75">
      <c r="A51" s="56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  <c r="M51" s="196"/>
      <c r="N51" s="196"/>
    </row>
    <row r="52" spans="1:14" ht="12.75">
      <c r="A52" s="56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  <c r="M52" s="196"/>
      <c r="N52" s="196"/>
    </row>
    <row r="53" spans="1:14" ht="12.75">
      <c r="A53" s="56"/>
      <c r="B53" s="49"/>
      <c r="C53" s="177" t="s">
        <v>1146</v>
      </c>
      <c r="D53" s="19">
        <f>IF(D46=0,0,VLOOKUP(CHOOSE((D16+1),5,6),Tables!$D$128:$Z$134,(D7+1+1)))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  <c r="M53" s="196"/>
      <c r="N53" s="196"/>
    </row>
    <row r="54" spans="1:14" ht="12.75">
      <c r="A54" s="56"/>
      <c r="B54" s="49"/>
      <c r="C54" s="177" t="s">
        <v>1152</v>
      </c>
      <c r="D54" s="19">
        <f>IF(D45=0,0,IF(Design!E234&gt;0,14,7))*D63</f>
        <v>0</v>
      </c>
      <c r="E54" s="19">
        <f>IF(D45&gt;0,0.2,0)</f>
        <v>0</v>
      </c>
      <c r="F54" s="106"/>
      <c r="G54" s="106"/>
      <c r="H54" s="69">
        <f>CHOOSE((D9+1),0,0,0,0,0.0001,0.0002,0.0003,0.0005,0.00075,0.001,0.0015,0.0015,0.0015,0.002,0.002,0.002,0.002,0.0025,0.0025,0.0025,0.0025,0.003)*IF(D45=0,0,1)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  <c r="M54" s="196"/>
      <c r="N54" s="196"/>
    </row>
    <row r="55" spans="1:14" ht="12.75">
      <c r="A55" s="56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  <c r="M55" s="196"/>
      <c r="N55" s="196"/>
    </row>
    <row r="56" spans="1:14" ht="12.75">
      <c r="A56" s="56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  <c r="M56" s="196"/>
      <c r="N56" s="196"/>
    </row>
    <row r="57" spans="1:14" ht="12.75">
      <c r="A57" s="56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  <c r="M57" s="196"/>
      <c r="N57" s="196"/>
    </row>
    <row r="58" spans="1:14" ht="12.75">
      <c r="A58" s="56"/>
      <c r="B58" s="49"/>
      <c r="C58" s="260" t="s">
        <v>1154</v>
      </c>
      <c r="D58" s="144">
        <f>D55+D41*D44</f>
        <v>14788.516303085129</v>
      </c>
      <c r="E58" s="255"/>
      <c r="F58" s="255"/>
      <c r="G58" s="255"/>
      <c r="H58" s="98"/>
      <c r="I58" s="83"/>
      <c r="J58" s="56"/>
      <c r="K58" s="56"/>
      <c r="L58" s="56"/>
      <c r="M58" s="196"/>
      <c r="N58" s="196"/>
    </row>
    <row r="59" spans="1:14" ht="12.75">
      <c r="A59" s="56"/>
      <c r="B59" s="49"/>
      <c r="C59" s="260" t="s">
        <v>1155</v>
      </c>
      <c r="D59" s="144">
        <f>E55+(E41*D44)</f>
        <v>14220.554727313847</v>
      </c>
      <c r="E59" s="255"/>
      <c r="F59" s="255"/>
      <c r="G59" s="255"/>
      <c r="H59" s="98"/>
      <c r="I59" s="83"/>
      <c r="J59" s="56"/>
      <c r="K59" s="56"/>
      <c r="L59" s="56"/>
      <c r="M59" s="196"/>
      <c r="N59" s="196"/>
    </row>
    <row r="60" spans="1:14" ht="12.75">
      <c r="A60" s="56"/>
      <c r="B60" s="49"/>
      <c r="C60" s="260" t="s">
        <v>1156</v>
      </c>
      <c r="D60" s="144">
        <f>CHOOSE((D$8+1),CHOOSE((D$23+1),D20*D$12^2,10,16,90,150),CHOOSE((((D$23+1)-1)+1),D20*D12^2,0,0,90,150),D20*D$12^2,D20*D$12^2,D20*D$12^2)*D44</f>
        <v>156.25</v>
      </c>
      <c r="E60" s="255"/>
      <c r="F60" s="255"/>
      <c r="G60" s="255"/>
      <c r="H60" s="98"/>
      <c r="I60" s="83"/>
      <c r="J60" s="56"/>
      <c r="K60" s="56"/>
      <c r="L60" s="56"/>
      <c r="M60" s="196"/>
      <c r="N60" s="196"/>
    </row>
    <row r="61" spans="1:14" ht="12.75">
      <c r="A61" s="56"/>
      <c r="B61" s="49"/>
      <c r="C61" s="260" t="s">
        <v>1157</v>
      </c>
      <c r="D61" s="144">
        <f>G55+(G41*D44)</f>
        <v>1388.888888888889</v>
      </c>
      <c r="E61" s="255"/>
      <c r="F61" s="255"/>
      <c r="G61" s="255"/>
      <c r="H61" s="98"/>
      <c r="I61" s="83"/>
      <c r="J61" s="56"/>
      <c r="K61" s="56"/>
      <c r="L61" s="56"/>
      <c r="M61" s="196"/>
      <c r="N61" s="196"/>
    </row>
    <row r="62" spans="1:14" ht="12.75">
      <c r="A62" s="56"/>
      <c r="B62" s="49"/>
      <c r="C62" s="260" t="s">
        <v>1158</v>
      </c>
      <c r="D62" s="116">
        <f>H55+(H41*D44)</f>
        <v>1253.8516303085128</v>
      </c>
      <c r="E62" s="255"/>
      <c r="F62" s="255"/>
      <c r="G62" s="255"/>
      <c r="H62" s="98"/>
      <c r="I62" s="83"/>
      <c r="J62" s="56"/>
      <c r="K62" s="56"/>
      <c r="L62" s="56"/>
      <c r="M62" s="196"/>
      <c r="N62" s="196"/>
    </row>
    <row r="63" spans="1:14" ht="12.75">
      <c r="A63" s="56"/>
      <c r="B63" s="49"/>
      <c r="C63" s="261" t="s">
        <v>1159</v>
      </c>
      <c r="D63" s="146">
        <f>D17*D44</f>
        <v>41</v>
      </c>
      <c r="E63" s="255"/>
      <c r="F63" s="255"/>
      <c r="G63" s="255"/>
      <c r="H63" s="98"/>
      <c r="I63" s="83"/>
      <c r="J63" s="56"/>
      <c r="K63" s="56"/>
      <c r="L63" s="56"/>
      <c r="M63" s="196"/>
      <c r="N63" s="196"/>
    </row>
    <row r="64" spans="1:14" ht="12.75">
      <c r="A64" s="56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  <c r="M64" s="196"/>
      <c r="N64" s="196"/>
    </row>
    <row r="65" spans="1:14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96"/>
      <c r="N65" s="196"/>
    </row>
    <row r="66" spans="1:14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96"/>
      <c r="N66" s="196"/>
    </row>
    <row r="67" spans="1:14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96"/>
      <c r="N67" s="196"/>
    </row>
    <row r="68" spans="1:14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96"/>
      <c r="N68" s="196"/>
    </row>
    <row r="69" spans="1:14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96"/>
      <c r="N69" s="196"/>
    </row>
    <row r="70" spans="1:14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96"/>
      <c r="N70" s="196"/>
    </row>
    <row r="71" spans="1:14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96"/>
      <c r="N71" s="196"/>
    </row>
    <row r="72" spans="1:14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96"/>
      <c r="N72" s="196"/>
    </row>
    <row r="73" spans="1:14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96"/>
      <c r="N73" s="196"/>
    </row>
    <row r="74" spans="1:14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196"/>
      <c r="N74" s="196"/>
    </row>
    <row r="75" spans="1:14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196"/>
      <c r="N75" s="196"/>
    </row>
    <row r="76" spans="1:14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196"/>
      <c r="N76" s="196"/>
    </row>
    <row r="77" spans="1:14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196"/>
      <c r="N77" s="196"/>
    </row>
    <row r="78" spans="1:14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96"/>
      <c r="N78" s="196"/>
    </row>
    <row r="79" spans="1:14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196"/>
      <c r="N79" s="196"/>
    </row>
    <row r="80" spans="1:14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196"/>
      <c r="N80" s="196"/>
    </row>
    <row r="81" spans="1:14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196"/>
      <c r="N81" s="196"/>
    </row>
    <row r="82" spans="1:14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96"/>
      <c r="N82" s="196"/>
    </row>
    <row r="83" spans="1:14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196"/>
      <c r="N83" s="196"/>
    </row>
    <row r="84" spans="1:14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196"/>
      <c r="N84" s="196"/>
    </row>
    <row r="85" spans="1:14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196"/>
      <c r="N85" s="196"/>
    </row>
    <row r="86" spans="1:14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196"/>
      <c r="N86" s="196"/>
    </row>
    <row r="87" spans="1:14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196"/>
      <c r="N87" s="196"/>
    </row>
    <row r="88" spans="1:14" ht="12.75">
      <c r="A88" s="480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196"/>
      <c r="N88" s="19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R9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14.421875" style="0" customWidth="1"/>
    <col min="8" max="8" width="12.7109375" style="0" customWidth="1"/>
    <col min="9" max="9" width="1.1484375" style="0" customWidth="1"/>
    <col min="10" max="10" width="62.8515625" style="0" customWidth="1"/>
  </cols>
  <sheetData>
    <row r="1" spans="1:18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96"/>
      <c r="N1" s="196"/>
      <c r="O1" s="196"/>
      <c r="P1" s="196"/>
      <c r="Q1" s="196"/>
      <c r="R1" s="196"/>
    </row>
    <row r="2" spans="1:18" ht="15.75">
      <c r="A2" s="56"/>
      <c r="B2" s="182"/>
      <c r="C2" s="246" t="s">
        <v>1228</v>
      </c>
      <c r="D2" s="248"/>
      <c r="E2" s="248"/>
      <c r="F2" s="248"/>
      <c r="G2" s="248"/>
      <c r="H2" s="248"/>
      <c r="I2" s="251"/>
      <c r="J2" s="56"/>
      <c r="K2" s="56"/>
      <c r="L2" s="56"/>
      <c r="M2" s="196"/>
      <c r="N2" s="196"/>
      <c r="O2" s="196"/>
      <c r="P2" s="196"/>
      <c r="Q2" s="196"/>
      <c r="R2" s="196"/>
    </row>
    <row r="3" spans="1:18" ht="12.75">
      <c r="A3" s="56"/>
      <c r="B3" s="47"/>
      <c r="C3" s="52"/>
      <c r="D3" s="52"/>
      <c r="E3" s="52"/>
      <c r="F3" s="52"/>
      <c r="G3" s="52"/>
      <c r="H3" s="52"/>
      <c r="I3" s="83"/>
      <c r="J3" s="56"/>
      <c r="K3" s="56"/>
      <c r="L3" s="56"/>
      <c r="M3" s="196"/>
      <c r="N3" s="196"/>
      <c r="O3" s="196"/>
      <c r="P3" s="196"/>
      <c r="Q3" s="196"/>
      <c r="R3" s="196"/>
    </row>
    <row r="4" spans="1:18" ht="12.75">
      <c r="A4" s="56"/>
      <c r="B4" s="47"/>
      <c r="C4" s="40" t="s">
        <v>1115</v>
      </c>
      <c r="D4" s="310" t="s">
        <v>1229</v>
      </c>
      <c r="E4" s="230"/>
      <c r="F4" s="231"/>
      <c r="G4" s="52"/>
      <c r="H4" s="52"/>
      <c r="I4" s="83"/>
      <c r="J4" s="56"/>
      <c r="K4" s="56"/>
      <c r="L4" s="56"/>
      <c r="M4" s="196"/>
      <c r="N4" s="196"/>
      <c r="O4" s="196"/>
      <c r="P4" s="196"/>
      <c r="Q4" s="196"/>
      <c r="R4" s="196"/>
    </row>
    <row r="5" spans="1:18" ht="12.75">
      <c r="A5" s="56"/>
      <c r="B5" s="47"/>
      <c r="C5" s="52"/>
      <c r="D5" s="52"/>
      <c r="E5" s="52"/>
      <c r="F5" s="52"/>
      <c r="G5" s="52"/>
      <c r="H5" s="52"/>
      <c r="I5" s="83"/>
      <c r="J5" s="56"/>
      <c r="K5" s="56"/>
      <c r="L5" s="56"/>
      <c r="M5" s="196"/>
      <c r="N5" s="196"/>
      <c r="O5" s="196"/>
      <c r="P5" s="196"/>
      <c r="Q5" s="196"/>
      <c r="R5" s="196"/>
    </row>
    <row r="6" spans="1:18" ht="12.75">
      <c r="A6" s="56"/>
      <c r="B6" s="47"/>
      <c r="C6" s="205" t="s">
        <v>1216</v>
      </c>
      <c r="D6" s="210"/>
      <c r="E6" s="210"/>
      <c r="F6" s="212"/>
      <c r="G6" s="52"/>
      <c r="H6" s="52"/>
      <c r="I6" s="83"/>
      <c r="J6" s="56"/>
      <c r="K6" s="56"/>
      <c r="L6" s="56"/>
      <c r="M6" s="196"/>
      <c r="N6" s="196"/>
      <c r="O6" s="196"/>
      <c r="P6" s="196"/>
      <c r="Q6" s="196"/>
      <c r="R6" s="196"/>
    </row>
    <row r="7" spans="1:18" ht="12.75">
      <c r="A7" s="56"/>
      <c r="B7" s="47"/>
      <c r="C7" s="161" t="s">
        <v>903</v>
      </c>
      <c r="D7" s="25">
        <v>12</v>
      </c>
      <c r="E7" s="154"/>
      <c r="F7" s="172"/>
      <c r="G7" s="52"/>
      <c r="H7" s="52"/>
      <c r="I7" s="83"/>
      <c r="J7" s="56"/>
      <c r="K7" s="56"/>
      <c r="L7" s="56"/>
      <c r="M7" s="196"/>
      <c r="N7" s="196"/>
      <c r="O7" s="196"/>
      <c r="P7" s="196"/>
      <c r="Q7" s="196"/>
      <c r="R7" s="196"/>
    </row>
    <row r="8" spans="1:18" ht="12.75">
      <c r="A8" s="56"/>
      <c r="B8" s="47"/>
      <c r="C8" s="161" t="s">
        <v>1217</v>
      </c>
      <c r="D8" s="25">
        <v>4</v>
      </c>
      <c r="E8" s="222" t="str">
        <f>CHOOSE((D8+1),"Turret","Bay","Fixed","Parallel","Spinal")</f>
        <v>Spinal</v>
      </c>
      <c r="F8" s="226"/>
      <c r="G8" s="52"/>
      <c r="H8" s="52"/>
      <c r="I8" s="83"/>
      <c r="J8" s="56"/>
      <c r="K8" s="56"/>
      <c r="L8" s="56"/>
      <c r="M8" s="196"/>
      <c r="N8" s="196"/>
      <c r="O8" s="196"/>
      <c r="P8" s="196"/>
      <c r="Q8" s="196"/>
      <c r="R8" s="196"/>
    </row>
    <row r="9" spans="1:18" ht="12.75">
      <c r="A9" s="56"/>
      <c r="B9" s="47"/>
      <c r="C9" s="161" t="s">
        <v>1230</v>
      </c>
      <c r="D9" s="25">
        <v>50</v>
      </c>
      <c r="E9" s="27" t="str">
        <f>CHOOSE((D8+1),CHOOSE((D19+1),IF(D9&gt;Tables!F39,"Size Violation"," "),IF(D9&gt;4.18,"Size violation"," "),IF(D9&gt;5.26,"Size Violation"," "),IF(D9&gt;12,"Size Violation"," "),IF(D9&gt;16,"Size Violation"," ")),CHOOSE((((D19+1)-1)+1),IF(D9&gt;Tables!F39,"Size Violation"," "),IF(D9&gt;4.18,"Size violation"," "),IF(D9&gt;5.26,"Size Violation"," "),IF(D9&gt;12,"Size Violation"," "),IF(D9&gt;16,"Size Violation"," ")),IF(D9&gt;Tables!F39,"Size Violation"," "),IF(D9&gt;Tables!F39,"Size Violation"," "),IF(D9&gt;Tables!F39,"Size Violation"," "))</f>
        <v>Size Violation</v>
      </c>
      <c r="F9" s="216"/>
      <c r="G9" s="52"/>
      <c r="H9" s="52"/>
      <c r="I9" s="83"/>
      <c r="J9" s="56"/>
      <c r="K9" s="56"/>
      <c r="L9" s="56"/>
      <c r="M9" s="196"/>
      <c r="N9" s="196"/>
      <c r="O9" s="196"/>
      <c r="P9" s="196"/>
      <c r="Q9" s="196"/>
      <c r="R9" s="196"/>
    </row>
    <row r="10" spans="1:18" ht="12.75">
      <c r="A10" s="56"/>
      <c r="B10" s="47"/>
      <c r="C10" s="161" t="s">
        <v>1122</v>
      </c>
      <c r="D10" s="25">
        <v>2500</v>
      </c>
      <c r="E10" s="168"/>
      <c r="F10" s="172"/>
      <c r="G10" s="52"/>
      <c r="H10" s="52"/>
      <c r="I10" s="83"/>
      <c r="J10" s="56"/>
      <c r="K10" s="56"/>
      <c r="L10" s="56"/>
      <c r="M10" s="196"/>
      <c r="N10" s="196"/>
      <c r="O10" s="196"/>
      <c r="P10" s="196"/>
      <c r="Q10" s="196"/>
      <c r="R10" s="196"/>
    </row>
    <row r="11" spans="1:18" ht="12.75">
      <c r="A11" s="56"/>
      <c r="B11" s="47"/>
      <c r="C11" s="276" t="s">
        <v>1123</v>
      </c>
      <c r="D11" s="281">
        <f>ROUND(Tables!E444,0)</f>
        <v>50000</v>
      </c>
      <c r="E11" s="168"/>
      <c r="F11" s="172"/>
      <c r="G11" s="52"/>
      <c r="H11" s="52"/>
      <c r="I11" s="83"/>
      <c r="J11" s="56"/>
      <c r="K11" s="56"/>
      <c r="L11" s="56"/>
      <c r="M11" s="196"/>
      <c r="N11" s="196"/>
      <c r="O11" s="196"/>
      <c r="P11" s="196"/>
      <c r="Q11" s="196"/>
      <c r="R11" s="196"/>
    </row>
    <row r="12" spans="1:18" ht="12.75">
      <c r="A12" s="56"/>
      <c r="B12" s="47"/>
      <c r="C12" s="276" t="s">
        <v>1124</v>
      </c>
      <c r="D12" s="25">
        <v>1</v>
      </c>
      <c r="E12" s="27" t="str">
        <f>CHOOSE((D12+1),"Short (30,000km)","Normal (150,000km)","Extreme (300,000km)")</f>
        <v>Normal (150,000km)</v>
      </c>
      <c r="F12" s="226"/>
      <c r="G12" s="52"/>
      <c r="H12" s="52"/>
      <c r="I12" s="83"/>
      <c r="J12" s="56"/>
      <c r="K12" s="56"/>
      <c r="L12" s="56"/>
      <c r="M12" s="196"/>
      <c r="N12" s="196"/>
      <c r="O12" s="196"/>
      <c r="P12" s="196"/>
      <c r="Q12" s="196"/>
      <c r="R12" s="196"/>
    </row>
    <row r="13" spans="1:18" ht="12.75">
      <c r="A13" s="56"/>
      <c r="B13" s="47"/>
      <c r="C13" s="47" t="s">
        <v>1223</v>
      </c>
      <c r="D13" s="30">
        <f>MAX(ROUND(0.01*Tables!$E$148*D30,0),1)</f>
        <v>4</v>
      </c>
      <c r="E13" s="168"/>
      <c r="F13" s="172"/>
      <c r="G13" s="52"/>
      <c r="H13" s="52"/>
      <c r="I13" s="83"/>
      <c r="J13" s="56"/>
      <c r="K13" s="56"/>
      <c r="L13" s="56"/>
      <c r="M13" s="196"/>
      <c r="N13" s="196"/>
      <c r="O13" s="196"/>
      <c r="P13" s="196"/>
      <c r="Q13" s="196"/>
      <c r="R13" s="196"/>
    </row>
    <row r="14" spans="1:18" ht="12.75">
      <c r="A14" s="56"/>
      <c r="B14" s="47"/>
      <c r="C14" s="177" t="s">
        <v>1126</v>
      </c>
      <c r="D14" s="25">
        <v>1</v>
      </c>
      <c r="E14" s="222" t="str">
        <f>IF(D14=0,"No","Yes")</f>
        <v>Yes</v>
      </c>
      <c r="F14" s="226"/>
      <c r="G14" s="52"/>
      <c r="H14" s="52"/>
      <c r="I14" s="83"/>
      <c r="J14" s="56"/>
      <c r="K14" s="56"/>
      <c r="L14" s="56"/>
      <c r="M14" s="196"/>
      <c r="N14" s="196"/>
      <c r="O14" s="196"/>
      <c r="P14" s="196"/>
      <c r="Q14" s="196"/>
      <c r="R14" s="196"/>
    </row>
    <row r="15" spans="1:18" ht="12.75">
      <c r="A15" s="56"/>
      <c r="B15" s="47"/>
      <c r="C15" s="177" t="s">
        <v>1127</v>
      </c>
      <c r="D15" s="25">
        <v>1</v>
      </c>
      <c r="E15" s="222" t="str">
        <f>IF(D15=0,"No","Yes")</f>
        <v>Yes</v>
      </c>
      <c r="F15" s="226"/>
      <c r="G15" s="52"/>
      <c r="H15" s="52"/>
      <c r="I15" s="83"/>
      <c r="J15" s="56"/>
      <c r="K15" s="56"/>
      <c r="L15" s="56"/>
      <c r="M15" s="196"/>
      <c r="N15" s="196"/>
      <c r="O15" s="196"/>
      <c r="P15" s="196"/>
      <c r="Q15" s="196"/>
      <c r="R15" s="196"/>
    </row>
    <row r="16" spans="1:18" ht="12.75">
      <c r="A16" s="56"/>
      <c r="B16" s="47"/>
      <c r="C16" s="161" t="s">
        <v>1148</v>
      </c>
      <c r="D16" s="25">
        <v>1</v>
      </c>
      <c r="E16" s="163">
        <f>IF(D16&gt;10,"Error: Max 10","")</f>
      </c>
      <c r="F16" s="216"/>
      <c r="G16" s="52"/>
      <c r="H16" s="52"/>
      <c r="I16" s="83"/>
      <c r="J16" s="56"/>
      <c r="K16" s="56"/>
      <c r="L16" s="56"/>
      <c r="M16" s="196"/>
      <c r="N16" s="196"/>
      <c r="O16" s="196"/>
      <c r="P16" s="196"/>
      <c r="Q16" s="196"/>
      <c r="R16" s="196"/>
    </row>
    <row r="17" spans="1:18" ht="12.75">
      <c r="A17" s="56"/>
      <c r="B17" s="47"/>
      <c r="C17" s="161" t="s">
        <v>1224</v>
      </c>
      <c r="D17" s="25">
        <v>50</v>
      </c>
      <c r="E17" s="410">
        <f>IF(D17&gt;800,"Error: Max ROF is 800","")</f>
      </c>
      <c r="F17" s="216"/>
      <c r="G17" s="52"/>
      <c r="H17" s="52"/>
      <c r="I17" s="83"/>
      <c r="J17" s="56"/>
      <c r="K17" s="56"/>
      <c r="L17" s="56"/>
      <c r="M17" s="196"/>
      <c r="N17" s="196"/>
      <c r="O17" s="196"/>
      <c r="P17" s="196"/>
      <c r="Q17" s="196"/>
      <c r="R17" s="196"/>
    </row>
    <row r="18" spans="1:18" ht="12.75">
      <c r="A18" s="56"/>
      <c r="B18" s="47"/>
      <c r="C18" s="301" t="s">
        <v>1131</v>
      </c>
      <c r="D18" s="25">
        <v>0</v>
      </c>
      <c r="E18" s="168"/>
      <c r="F18" s="172"/>
      <c r="G18" s="52"/>
      <c r="H18" s="52"/>
      <c r="I18" s="83"/>
      <c r="J18" s="56"/>
      <c r="K18" s="56"/>
      <c r="L18" s="56"/>
      <c r="M18" s="196"/>
      <c r="N18" s="196"/>
      <c r="O18" s="196"/>
      <c r="P18" s="196"/>
      <c r="Q18" s="196"/>
      <c r="R18" s="196"/>
    </row>
    <row r="19" spans="1:18" ht="12.75">
      <c r="A19" s="56"/>
      <c r="B19" s="47"/>
      <c r="C19" s="180" t="s">
        <v>1132</v>
      </c>
      <c r="D19" s="31">
        <v>0</v>
      </c>
      <c r="E19" s="224" t="str">
        <f>CHOOSE((D19+1),"None","42m turret","84m turret","50std bay","100std bay")</f>
        <v>None</v>
      </c>
      <c r="F19" s="229"/>
      <c r="G19" s="52"/>
      <c r="H19" s="52"/>
      <c r="I19" s="83"/>
      <c r="J19" s="56"/>
      <c r="K19" s="56"/>
      <c r="L19" s="56"/>
      <c r="M19" s="196"/>
      <c r="N19" s="196"/>
      <c r="O19" s="196"/>
      <c r="P19" s="196"/>
      <c r="Q19" s="196"/>
      <c r="R19" s="196"/>
    </row>
    <row r="20" spans="1:18" ht="12.75">
      <c r="A20" s="56"/>
      <c r="B20" s="47"/>
      <c r="C20" s="52"/>
      <c r="D20" s="52"/>
      <c r="E20" s="52"/>
      <c r="F20" s="52"/>
      <c r="G20" s="52"/>
      <c r="H20" s="52"/>
      <c r="I20" s="83"/>
      <c r="J20" s="56"/>
      <c r="K20" s="56"/>
      <c r="L20" s="56"/>
      <c r="M20" s="196"/>
      <c r="N20" s="196"/>
      <c r="O20" s="196"/>
      <c r="P20" s="196"/>
      <c r="Q20" s="196"/>
      <c r="R20" s="196"/>
    </row>
    <row r="21" spans="1:18" ht="12.75">
      <c r="A21" s="56"/>
      <c r="B21" s="47"/>
      <c r="C21" s="205" t="s">
        <v>556</v>
      </c>
      <c r="D21" s="495" t="s">
        <v>1134</v>
      </c>
      <c r="E21" s="207" t="s">
        <v>1135</v>
      </c>
      <c r="F21" s="208"/>
      <c r="G21" s="52"/>
      <c r="H21" s="52"/>
      <c r="I21" s="83"/>
      <c r="J21" s="56"/>
      <c r="K21" s="56"/>
      <c r="L21" s="56"/>
      <c r="M21" s="196"/>
      <c r="N21" s="196"/>
      <c r="O21" s="196"/>
      <c r="P21" s="196"/>
      <c r="Q21" s="196"/>
      <c r="R21" s="196"/>
    </row>
    <row r="22" spans="1:18" ht="12.75">
      <c r="A22" s="465"/>
      <c r="B22" s="476"/>
      <c r="C22" s="254" t="s">
        <v>1136</v>
      </c>
      <c r="D22" s="475"/>
      <c r="E22" s="499">
        <f>MIN($D$10,ROUND($D$10/((ROUND((CHOOSE(($D$12+1),30000,150000,150000)/1000)/Tables!$E$441,1))^2),2))</f>
        <v>277.78</v>
      </c>
      <c r="F22" s="226"/>
      <c r="G22" s="462"/>
      <c r="H22" s="462"/>
      <c r="I22" s="464"/>
      <c r="J22" s="465"/>
      <c r="K22" s="465"/>
      <c r="L22" s="465"/>
      <c r="M22" s="466"/>
      <c r="N22" s="466"/>
      <c r="O22" s="466"/>
      <c r="P22" s="466"/>
      <c r="Q22" s="466"/>
      <c r="R22" s="466"/>
    </row>
    <row r="23" spans="1:18" ht="12.75">
      <c r="A23" s="56"/>
      <c r="B23" s="47"/>
      <c r="C23" s="254" t="s">
        <v>1137</v>
      </c>
      <c r="D23" s="469">
        <f>MIN($D$10,ROUND($D$10/((ROUND((CHOOSE(($D$12+1),30000,300000)/1000)/Tables!$E$441,1))^2),2))</f>
        <v>69.44</v>
      </c>
      <c r="E23" s="499">
        <f>IF(D12=0,0,MIN($D$10,ROUND($D$10/((ROUND((CHOOSE(($D$12+1),30000,300000,300000)/1000)/Tables!$E$441,1))^2),2)))</f>
        <v>69.44</v>
      </c>
      <c r="F23" s="226"/>
      <c r="G23" s="52"/>
      <c r="H23" s="52"/>
      <c r="I23" s="83"/>
      <c r="J23" s="56"/>
      <c r="K23" s="56"/>
      <c r="L23" s="56"/>
      <c r="M23" s="196"/>
      <c r="N23" s="196"/>
      <c r="O23" s="196"/>
      <c r="P23" s="196"/>
      <c r="Q23" s="196"/>
      <c r="R23" s="196"/>
    </row>
    <row r="24" spans="1:18" ht="12.75">
      <c r="A24" s="56"/>
      <c r="B24" s="47"/>
      <c r="C24" s="254" t="s">
        <v>1138</v>
      </c>
      <c r="D24" s="469">
        <f>MIN($D$10,ROUND($D$10/((ROUND(((CHOOSE((D12+1),30000,300000)/1000)*2)/Tables!E$441,1))^2),2))</f>
        <v>17.36</v>
      </c>
      <c r="E24" s="499">
        <f>IF(D13=0,0,MIN($D$10,ROUND($D$10/((ROUND((CHOOSE(($D$12+1),30000,600000,600000)/1000)/Tables!$E$441,1))^2),2)))</f>
        <v>17.36</v>
      </c>
      <c r="F24" s="226"/>
      <c r="G24" s="52"/>
      <c r="H24" s="52"/>
      <c r="I24" s="156"/>
      <c r="J24" s="56"/>
      <c r="K24" s="56"/>
      <c r="L24" s="56"/>
      <c r="M24" s="196"/>
      <c r="N24" s="196"/>
      <c r="O24" s="196"/>
      <c r="P24" s="196"/>
      <c r="Q24" s="196"/>
      <c r="R24" s="196"/>
    </row>
    <row r="25" spans="1:18" ht="12.75">
      <c r="A25" s="56"/>
      <c r="B25" s="47"/>
      <c r="C25" s="254" t="s">
        <v>1139</v>
      </c>
      <c r="D25" s="469">
        <f>MIN($D$10,ROUND($D$10/((ROUND(((CHOOSE((D12+1),30000,300000)/1000)*4)/Tables!E$441,1))^2),2))</f>
        <v>4.34</v>
      </c>
      <c r="E25" s="499">
        <f>IF(D14=0,0,MIN($D$10,ROUND($D$10/((ROUND((CHOOSE(($D$12+1),30000,1200000,1200000)/1000)/Tables!$E$441,1))^2),2)))</f>
        <v>4.34</v>
      </c>
      <c r="F25" s="226"/>
      <c r="G25" s="52"/>
      <c r="H25" s="52"/>
      <c r="I25" s="83"/>
      <c r="J25" s="56"/>
      <c r="K25" s="56"/>
      <c r="L25" s="56"/>
      <c r="M25" s="196"/>
      <c r="N25" s="196"/>
      <c r="O25" s="196"/>
      <c r="P25" s="196"/>
      <c r="Q25" s="196"/>
      <c r="R25" s="196"/>
    </row>
    <row r="26" spans="1:18" ht="12.75">
      <c r="A26" s="56"/>
      <c r="B26" s="47"/>
      <c r="C26" s="254" t="s">
        <v>1140</v>
      </c>
      <c r="D26" s="469">
        <f>MIN($D$10,ROUND($D$10/((ROUND(((CHOOSE((D12+1),30000,300000)/1000)*8)/Tables!E$441,1))^2),2))</f>
        <v>1.09</v>
      </c>
      <c r="E26" s="499">
        <f>IF(D15&lt;2,0,MIN($D$10,ROUND($D$10/((ROUND((CHOOSE(($D$12+1),30000,2400000,2400000)/1000)/Tables!$E$441,1))^2),2)))</f>
        <v>0</v>
      </c>
      <c r="F26" s="226"/>
      <c r="G26" s="52"/>
      <c r="H26" s="52"/>
      <c r="I26" s="83"/>
      <c r="J26" s="56"/>
      <c r="K26" s="56"/>
      <c r="L26" s="56"/>
      <c r="M26" s="196"/>
      <c r="N26" s="196"/>
      <c r="O26" s="196"/>
      <c r="P26" s="196"/>
      <c r="Q26" s="196"/>
      <c r="R26" s="196"/>
    </row>
    <row r="27" spans="1:18" ht="12.75">
      <c r="A27" s="56"/>
      <c r="B27" s="47"/>
      <c r="C27" s="264" t="s">
        <v>1134</v>
      </c>
      <c r="D27" s="470" t="str">
        <f>CONCATENATE("(",IF(D15=0,"+0",CHOOSE((D7+1),"+0","+0","+0","+0","+0","+0","+0","+0","+0","+0","+3","+3","+4","+4","+5","+6","+6","+7","+7","+8","+8","+9")),") 2/",ROUND(Tables!F448,0),"-",ROUND(Tables!F449,0),"-",ROUND(Tables!F450,0),"-",ROUND(Tables!F451,0))</f>
        <v>(+4) 2/2-1-0-0</v>
      </c>
      <c r="E27" s="224" t="str">
        <f>CONCATENATE("(",IF(Tables!$E$457&gt;=0,"+",""),Tables!$E$457,IF($D$15=0,"",CHOOSE(($D$7+1),"","","","","","","","","","",",+3",",+3",",+4",",+4",",+5",",+6",",+6",",+7",",+7",",+8",",+8",",+9")),") ",IF($E$22=0,"",CONCATENATE(Tables!$H$452,":",Tables!$F$452))," ",IF($E$23=0,"",CONCATENATE(Tables!$H$453,":",Tables!$F$453))," ",IF($E$24=0,"",CONCATENATE(Tables!$H$454,":",Tables!$F$454))," ",IF($E$25=0,"",CONCATENATE(Tables!$H$455,":",Tables!$F$455))," ",IF($E$36=0,"",CONCATENATE(Tables!$H$456,":",Tables!$F$456))," ")</f>
        <v>(+0,+4) 11:11 9:9 7:7 6:6  </v>
      </c>
      <c r="F27" s="229"/>
      <c r="G27" s="52"/>
      <c r="H27" s="52"/>
      <c r="I27" s="83"/>
      <c r="J27" s="56"/>
      <c r="K27" s="56"/>
      <c r="L27" s="56"/>
      <c r="M27" s="196"/>
      <c r="N27" s="196"/>
      <c r="O27" s="196"/>
      <c r="P27" s="196"/>
      <c r="Q27" s="196"/>
      <c r="R27" s="196"/>
    </row>
    <row r="28" spans="1:18" ht="12.75">
      <c r="A28" s="56"/>
      <c r="B28" s="47"/>
      <c r="C28" s="52"/>
      <c r="D28" s="52"/>
      <c r="E28" s="52"/>
      <c r="F28" s="52"/>
      <c r="G28" s="52"/>
      <c r="H28" s="52"/>
      <c r="I28" s="83"/>
      <c r="J28" s="56"/>
      <c r="K28" s="56"/>
      <c r="L28" s="56"/>
      <c r="M28" s="196"/>
      <c r="N28" s="196"/>
      <c r="O28" s="196"/>
      <c r="P28" s="196"/>
      <c r="Q28" s="196"/>
      <c r="R28" s="196"/>
    </row>
    <row r="29" spans="1:18" ht="12.75">
      <c r="A29" s="56"/>
      <c r="B29" s="47"/>
      <c r="C29" s="205" t="s">
        <v>1141</v>
      </c>
      <c r="D29" s="207" t="s">
        <v>910</v>
      </c>
      <c r="E29" s="207" t="s">
        <v>911</v>
      </c>
      <c r="F29" s="207" t="s">
        <v>912</v>
      </c>
      <c r="G29" s="207" t="s">
        <v>913</v>
      </c>
      <c r="H29" s="142" t="s">
        <v>1142</v>
      </c>
      <c r="I29" s="83"/>
      <c r="J29" s="56"/>
      <c r="K29" s="56"/>
      <c r="L29" s="56"/>
      <c r="M29" s="196"/>
      <c r="N29" s="196"/>
      <c r="O29" s="196"/>
      <c r="P29" s="196"/>
      <c r="Q29" s="196"/>
      <c r="R29" s="196"/>
    </row>
    <row r="30" spans="1:18" ht="12.75">
      <c r="A30" s="56"/>
      <c r="B30" s="47"/>
      <c r="C30" s="177" t="s">
        <v>1225</v>
      </c>
      <c r="D30" s="19">
        <f>Tables!E442*D16</f>
        <v>1250</v>
      </c>
      <c r="E30" s="18">
        <f>D30*CHOOSE((D7+1),0,0,0,0,0,0,0,0,0,0,0,1,0.75,0.75,0.6,0.6,0.5,0.5,0.4,0.4,0.3,0.3)</f>
        <v>937.5</v>
      </c>
      <c r="F30" s="18">
        <f>D30/D9*D16</f>
        <v>25</v>
      </c>
      <c r="G30" s="18">
        <f>(D17*Tables!E445*D16)/1800</f>
        <v>347.22222222222223</v>
      </c>
      <c r="H30" s="116">
        <f>D30*0.1</f>
        <v>125</v>
      </c>
      <c r="I30" s="83"/>
      <c r="J30" s="56"/>
      <c r="K30" s="56"/>
      <c r="L30" s="56"/>
      <c r="M30" s="196"/>
      <c r="N30" s="196"/>
      <c r="O30" s="196"/>
      <c r="P30" s="196"/>
      <c r="Q30" s="196"/>
      <c r="R30" s="196"/>
    </row>
    <row r="31" spans="1:18" ht="12.75">
      <c r="A31" s="56"/>
      <c r="B31" s="47"/>
      <c r="C31" s="177" t="s">
        <v>961</v>
      </c>
      <c r="D31" s="19">
        <f>VLOOKUP(CHOOSE((D12+1),5,6,6),Tables!$D$119:$Z$125,(D7+1+1))*D16</f>
        <v>16.67</v>
      </c>
      <c r="E31" s="19">
        <f>D31</f>
        <v>16.67</v>
      </c>
      <c r="F31" s="148"/>
      <c r="G31" s="148"/>
      <c r="H31" s="120">
        <f>D31*0.1</f>
        <v>1.6670000000000003</v>
      </c>
      <c r="I31" s="83"/>
      <c r="J31" s="56"/>
      <c r="K31" s="56"/>
      <c r="L31" s="56"/>
      <c r="M31" s="196"/>
      <c r="N31" s="196"/>
      <c r="O31" s="196"/>
      <c r="P31" s="196"/>
      <c r="Q31" s="196"/>
      <c r="R31" s="196"/>
    </row>
    <row r="32" spans="1:18" ht="12.75">
      <c r="A32" s="56"/>
      <c r="B32" s="47"/>
      <c r="C32" s="177" t="s">
        <v>954</v>
      </c>
      <c r="D32" s="18">
        <f>Tables!E445*CHOOSE((((D7+1)-1)+1),0,0,0,0,0,0,0,0.25,0.125,0.1,0.08,0.06,0.05,0.045,0.04,0.035,0.03,0.025,0.02,0.015,0.01,0.005)*D16</f>
        <v>625</v>
      </c>
      <c r="E32" s="18">
        <f>D32*2</f>
        <v>1250</v>
      </c>
      <c r="F32" s="148"/>
      <c r="G32" s="148"/>
      <c r="H32" s="116">
        <f>D32*0.01</f>
        <v>6.25</v>
      </c>
      <c r="I32" s="83"/>
      <c r="J32" s="56"/>
      <c r="K32" s="56"/>
      <c r="L32" s="56"/>
      <c r="M32" s="196"/>
      <c r="N32" s="196"/>
      <c r="O32" s="196"/>
      <c r="P32" s="196"/>
      <c r="Q32" s="196"/>
      <c r="R32" s="196"/>
    </row>
    <row r="33" spans="1:18" ht="12.75">
      <c r="A33" s="56"/>
      <c r="B33" s="47"/>
      <c r="C33" s="177" t="s">
        <v>1145</v>
      </c>
      <c r="D33" s="18">
        <f>IF(D14=0,0,7)*D13</f>
        <v>28</v>
      </c>
      <c r="E33" s="18">
        <f>IF(D14=0,0,0.2)*D13</f>
        <v>0.8</v>
      </c>
      <c r="F33" s="148"/>
      <c r="G33" s="148"/>
      <c r="H33" s="69">
        <f>CHOOSE((D7+1),0,0,0,0,0.0001,0.0002,0.0003,0.0005,0.00075,0.001,0.0015,0.0015,0.0015,0.002,0.002,0.002,0.002,0.0025,0.0025,0.0025,0.0025,0.003)*IF(D14=0,0,D13)</f>
        <v>0.006</v>
      </c>
      <c r="I33" s="83"/>
      <c r="J33" s="56"/>
      <c r="K33" s="56"/>
      <c r="L33" s="56"/>
      <c r="M33" s="196"/>
      <c r="N33" s="196"/>
      <c r="O33" s="196"/>
      <c r="P33" s="196"/>
      <c r="Q33" s="196"/>
      <c r="R33" s="196"/>
    </row>
    <row r="34" spans="1:18" ht="12.75">
      <c r="A34" s="56"/>
      <c r="B34" s="47"/>
      <c r="C34" s="177" t="s">
        <v>1146</v>
      </c>
      <c r="D34" s="19">
        <f>IF(D15=0,0,VLOOKUP(CHOOSE((D12+1),5,6,6),Tables!$D$128:$Z$134,(D7+1+1)))</f>
        <v>33.33</v>
      </c>
      <c r="E34" s="19">
        <f>D34</f>
        <v>33.33</v>
      </c>
      <c r="F34" s="106"/>
      <c r="G34" s="19">
        <f>D34*0.01</f>
        <v>0.3333</v>
      </c>
      <c r="H34" s="120">
        <f>D34</f>
        <v>33.33</v>
      </c>
      <c r="I34" s="83"/>
      <c r="J34" s="56"/>
      <c r="K34" s="56"/>
      <c r="L34" s="56"/>
      <c r="M34" s="196"/>
      <c r="N34" s="196"/>
      <c r="O34" s="196"/>
      <c r="P34" s="196"/>
      <c r="Q34" s="196"/>
      <c r="R34" s="196"/>
    </row>
    <row r="35" spans="1:18" ht="12.75">
      <c r="A35" s="56"/>
      <c r="B35" s="47"/>
      <c r="C35" s="276" t="s">
        <v>570</v>
      </c>
      <c r="D35" s="19">
        <f>Tables!E447*Tables!F447</f>
        <v>0</v>
      </c>
      <c r="E35" s="19">
        <f>$D$35*Tables!$F$10</f>
        <v>0</v>
      </c>
      <c r="F35" s="106"/>
      <c r="G35" s="19">
        <f>$D$35*Tables!$F$12</f>
        <v>0</v>
      </c>
      <c r="H35" s="120">
        <f>$D$35*Tables!$F$11</f>
        <v>0</v>
      </c>
      <c r="I35" s="83"/>
      <c r="J35" s="56"/>
      <c r="K35" s="56"/>
      <c r="L35" s="56"/>
      <c r="M35" s="196"/>
      <c r="N35" s="196"/>
      <c r="O35" s="196"/>
      <c r="P35" s="196"/>
      <c r="Q35" s="196"/>
      <c r="R35" s="196"/>
    </row>
    <row r="36" spans="1:18" ht="12.75">
      <c r="A36" s="56"/>
      <c r="B36" s="47"/>
      <c r="C36" s="177" t="s">
        <v>1132</v>
      </c>
      <c r="D36" s="18">
        <f>IF(D19=0,0,CHOOSE((D19+1),0,42,84,700,1400)-SUM(D30:D35))</f>
        <v>0</v>
      </c>
      <c r="E36" s="237"/>
      <c r="F36" s="237"/>
      <c r="G36" s="148"/>
      <c r="H36" s="75"/>
      <c r="I36" s="83"/>
      <c r="J36" s="56"/>
      <c r="K36" s="56"/>
      <c r="L36" s="56"/>
      <c r="M36" s="196"/>
      <c r="N36" s="196"/>
      <c r="O36" s="196"/>
      <c r="P36" s="196"/>
      <c r="Q36" s="196"/>
      <c r="R36" s="196"/>
    </row>
    <row r="37" spans="1:18" ht="12.75">
      <c r="A37" s="56"/>
      <c r="B37" s="47"/>
      <c r="C37" s="13" t="s">
        <v>341</v>
      </c>
      <c r="D37" s="105">
        <f>IF(D36&lt;0,#VALUE!,SUM(D30:D36))</f>
        <v>1953</v>
      </c>
      <c r="E37" s="105">
        <f>SUM(E30:E36)</f>
        <v>2238.3</v>
      </c>
      <c r="F37" s="105">
        <f>SUM(F30:F36)</f>
        <v>25</v>
      </c>
      <c r="G37" s="105">
        <f>SUM(G30:G36)</f>
        <v>347.55552222222224</v>
      </c>
      <c r="H37" s="139">
        <f>SUM(H30:H36)</f>
        <v>166.253</v>
      </c>
      <c r="I37" s="83"/>
      <c r="J37" s="56"/>
      <c r="K37" s="56"/>
      <c r="L37" s="56"/>
      <c r="M37" s="196"/>
      <c r="N37" s="196"/>
      <c r="O37" s="196"/>
      <c r="P37" s="196"/>
      <c r="Q37" s="196"/>
      <c r="R37" s="196"/>
    </row>
    <row r="38" spans="1:18" ht="12.75">
      <c r="A38" s="56"/>
      <c r="B38" s="47"/>
      <c r="C38" s="52"/>
      <c r="D38" s="52"/>
      <c r="E38" s="52"/>
      <c r="F38" s="52"/>
      <c r="G38" s="52"/>
      <c r="H38" s="52"/>
      <c r="I38" s="83"/>
      <c r="J38" s="56"/>
      <c r="K38" s="56"/>
      <c r="L38" s="56"/>
      <c r="M38" s="196"/>
      <c r="N38" s="196"/>
      <c r="O38" s="196"/>
      <c r="P38" s="196"/>
      <c r="Q38" s="196"/>
      <c r="R38" s="196"/>
    </row>
    <row r="39" spans="1:18" ht="12.75">
      <c r="A39" s="56"/>
      <c r="B39" s="49"/>
      <c r="C39" s="205" t="s">
        <v>1147</v>
      </c>
      <c r="D39" s="102"/>
      <c r="E39" s="102"/>
      <c r="F39" s="103"/>
      <c r="G39" s="255"/>
      <c r="H39" s="98"/>
      <c r="I39" s="83"/>
      <c r="J39" s="56"/>
      <c r="K39" s="56"/>
      <c r="L39" s="56"/>
      <c r="M39" s="196"/>
      <c r="N39" s="196"/>
      <c r="O39" s="196"/>
      <c r="P39" s="196"/>
      <c r="Q39" s="196"/>
      <c r="R39" s="196"/>
    </row>
    <row r="40" spans="1:18" ht="12.75">
      <c r="A40" s="56"/>
      <c r="B40" s="49"/>
      <c r="C40" s="254" t="s">
        <v>1148</v>
      </c>
      <c r="D40" s="37">
        <v>1</v>
      </c>
      <c r="E40" s="110" t="str">
        <f>IF(D40*D16&gt;10,"Error: Max 10"," ")</f>
        <v> </v>
      </c>
      <c r="F40" s="228"/>
      <c r="G40" s="255"/>
      <c r="H40" s="98"/>
      <c r="I40" s="83"/>
      <c r="J40" s="56"/>
      <c r="K40" s="56"/>
      <c r="L40" s="56"/>
      <c r="M40" s="196"/>
      <c r="N40" s="196"/>
      <c r="O40" s="196"/>
      <c r="P40" s="196"/>
      <c r="Q40" s="196"/>
      <c r="R40" s="196"/>
    </row>
    <row r="41" spans="1:18" ht="12.75">
      <c r="A41" s="56"/>
      <c r="B41" s="49"/>
      <c r="C41" s="177" t="s">
        <v>1149</v>
      </c>
      <c r="D41" s="30">
        <f>IF(D40&gt;1,IF(D14=0,1,0),0)</f>
        <v>0</v>
      </c>
      <c r="E41" s="110"/>
      <c r="F41" s="228"/>
      <c r="G41" s="255"/>
      <c r="H41" s="98"/>
      <c r="I41" s="83"/>
      <c r="J41" s="56"/>
      <c r="K41" s="56"/>
      <c r="L41" s="56"/>
      <c r="M41" s="196"/>
      <c r="N41" s="196"/>
      <c r="O41" s="196"/>
      <c r="P41" s="196"/>
      <c r="Q41" s="196"/>
      <c r="R41" s="196"/>
    </row>
    <row r="42" spans="1:18" ht="12.75">
      <c r="A42" s="56"/>
      <c r="B42" s="49"/>
      <c r="C42" s="179" t="s">
        <v>1127</v>
      </c>
      <c r="D42" s="147">
        <f>IF(D40&gt;1,1,0)</f>
        <v>0</v>
      </c>
      <c r="E42" s="59"/>
      <c r="F42" s="229"/>
      <c r="G42" s="255"/>
      <c r="H42" s="98"/>
      <c r="I42" s="83"/>
      <c r="J42" s="56"/>
      <c r="K42" s="56"/>
      <c r="L42" s="56"/>
      <c r="M42" s="196"/>
      <c r="N42" s="196"/>
      <c r="O42" s="196"/>
      <c r="P42" s="196"/>
      <c r="Q42" s="196"/>
      <c r="R42" s="196"/>
    </row>
    <row r="43" spans="1:18" ht="12.75">
      <c r="A43" s="56"/>
      <c r="B43" s="49"/>
      <c r="C43" s="52"/>
      <c r="D43" s="255"/>
      <c r="E43" s="255"/>
      <c r="F43" s="255"/>
      <c r="G43" s="255"/>
      <c r="H43" s="98"/>
      <c r="I43" s="83"/>
      <c r="J43" s="56"/>
      <c r="K43" s="56"/>
      <c r="L43" s="56"/>
      <c r="M43" s="196"/>
      <c r="N43" s="196"/>
      <c r="O43" s="196"/>
      <c r="P43" s="196"/>
      <c r="Q43" s="196"/>
      <c r="R43" s="196"/>
    </row>
    <row r="44" spans="1:18" ht="12.75">
      <c r="A44" s="56"/>
      <c r="B44" s="49"/>
      <c r="C44" s="205" t="s">
        <v>1150</v>
      </c>
      <c r="D44" s="210"/>
      <c r="E44" s="102"/>
      <c r="F44" s="212"/>
      <c r="G44" s="52"/>
      <c r="H44" s="98"/>
      <c r="I44" s="83"/>
      <c r="J44" s="56"/>
      <c r="K44" s="56"/>
      <c r="L44" s="56"/>
      <c r="M44" s="196"/>
      <c r="N44" s="196"/>
      <c r="O44" s="196"/>
      <c r="P44" s="196"/>
      <c r="Q44" s="196"/>
      <c r="R44" s="196"/>
    </row>
    <row r="45" spans="1:18" ht="12.75">
      <c r="A45" s="465"/>
      <c r="B45" s="457"/>
      <c r="C45" s="500" t="s">
        <v>1134</v>
      </c>
      <c r="D45" s="501" t="str">
        <f>CONCATENATE("(",IF(D42+D15=0,"+0",CHOOSE((D7+1),"+0","+0","+0","+0","+0","+0","+0","+0","+0","+0","+3","+3","+4","+4","+5","+6","+6","+7","+7","+8","+8","+9")),") 2/",ROUND(Tables!G448,0),"-",ROUND(Tables!G449,0),"-",ROUND(Tables!G450,0),"-",ROUND(Tables!G451,0)," [",ROUND(D16*D40,0),",",ROUND(D17,0),"/",ROUND(Tables!E448,0),"-",ROUND(Tables!E449,0),"-",ROUND(Tables!E450,0),"-",ROUND(Tables!E451,0),"]",CHOOSE((D12+1)," (SR"," (LR"," (LR"),IF(D18=0,"",CONCATENATE(" /Ar:",ROUND(VLOOKUP(D18/1.43,Tables!A2:B61,2)*10,0)," [",ROUND(D18,0),"]")),")")</f>
        <v>(+4) 2/2-1-0-0 [1,50/59-30-15-7] (LR)</v>
      </c>
      <c r="E45" s="502"/>
      <c r="F45" s="503"/>
      <c r="G45" s="462"/>
      <c r="H45" s="463"/>
      <c r="I45" s="464"/>
      <c r="J45" s="465"/>
      <c r="K45" s="465"/>
      <c r="L45" s="465"/>
      <c r="M45" s="466"/>
      <c r="N45" s="466"/>
      <c r="O45" s="466"/>
      <c r="P45" s="466"/>
      <c r="Q45" s="466"/>
      <c r="R45" s="466"/>
    </row>
    <row r="46" spans="1:18" ht="12.75">
      <c r="A46" s="56"/>
      <c r="B46" s="49"/>
      <c r="C46" s="264" t="s">
        <v>1135</v>
      </c>
      <c r="D46" s="224" t="str">
        <f>CONCATENATE("(",IF(Tables!$E$457&gt;=0,"+",""),Tables!$E$457,IF($D$15+$D$42=0,"",CHOOSE(($D$7+1),"","","","","","","","","","",",+3",",+3",",+4",",+4",",+5",",+6",",+6",",+7",",+7",",+8",",+8",",+9")),") ",IF($E$22=0,"",CONCATENATE(Tables!$H$452,":",Tables!$G$452))," ",IF($E$23=0,"",CONCATENATE(Tables!$H$453,":",Tables!$G$453))," ",IF($E$24=0,"",CONCATENATE(Tables!$H$454,":",Tables!$G$454))," ",IF($E$25=0,"",CONCATENATE(Tables!$H$455,":",Tables!$G$455))," ",IF($E$36=0,"",CONCATENATE(Tables!$H$456,":",Tables!$G$456))," ")</f>
        <v>(+0,+4) 11:11 9:9 7:7 6:6  </v>
      </c>
      <c r="E46" s="59"/>
      <c r="F46" s="214"/>
      <c r="G46" s="52"/>
      <c r="H46" s="98"/>
      <c r="I46" s="83"/>
      <c r="J46" s="56"/>
      <c r="K46" s="56"/>
      <c r="L46" s="56"/>
      <c r="M46" s="196"/>
      <c r="N46" s="196"/>
      <c r="O46" s="196"/>
      <c r="P46" s="196"/>
      <c r="Q46" s="196"/>
      <c r="R46" s="196"/>
    </row>
    <row r="47" spans="1:18" ht="12.75">
      <c r="A47" s="56"/>
      <c r="B47" s="49"/>
      <c r="C47" s="52"/>
      <c r="D47" s="52"/>
      <c r="E47" s="52"/>
      <c r="F47" s="52"/>
      <c r="G47" s="52"/>
      <c r="H47" s="98"/>
      <c r="I47" s="83"/>
      <c r="J47" s="56"/>
      <c r="K47" s="56"/>
      <c r="L47" s="56"/>
      <c r="M47" s="196"/>
      <c r="N47" s="196"/>
      <c r="O47" s="196"/>
      <c r="P47" s="196"/>
      <c r="Q47" s="196"/>
      <c r="R47" s="196"/>
    </row>
    <row r="48" spans="1:18" ht="12.75">
      <c r="A48" s="56"/>
      <c r="B48" s="49"/>
      <c r="C48" s="205" t="s">
        <v>1151</v>
      </c>
      <c r="D48" s="207" t="s">
        <v>910</v>
      </c>
      <c r="E48" s="207" t="s">
        <v>911</v>
      </c>
      <c r="F48" s="207" t="s">
        <v>912</v>
      </c>
      <c r="G48" s="207" t="s">
        <v>913</v>
      </c>
      <c r="H48" s="142" t="s">
        <v>1142</v>
      </c>
      <c r="I48" s="83"/>
      <c r="J48" s="56"/>
      <c r="K48" s="56"/>
      <c r="L48" s="56"/>
      <c r="M48" s="196"/>
      <c r="N48" s="196"/>
      <c r="O48" s="196"/>
      <c r="P48" s="196"/>
      <c r="Q48" s="196"/>
      <c r="R48" s="196"/>
    </row>
    <row r="49" spans="1:18" ht="12.75">
      <c r="A49" s="56"/>
      <c r="B49" s="49"/>
      <c r="C49" s="177" t="s">
        <v>1146</v>
      </c>
      <c r="D49" s="19">
        <f>IF(D42=0,0,VLOOKUP(CHOOSE((D12+1),5,6,6),Tables!$D$128:$Z$134,(D7+1+1)))</f>
        <v>0</v>
      </c>
      <c r="E49" s="19">
        <f>D49</f>
        <v>0</v>
      </c>
      <c r="F49" s="106"/>
      <c r="G49" s="19">
        <f>D49*0.01</f>
        <v>0</v>
      </c>
      <c r="H49" s="120">
        <f>D49</f>
        <v>0</v>
      </c>
      <c r="I49" s="83"/>
      <c r="J49" s="56"/>
      <c r="K49" s="56"/>
      <c r="L49" s="56"/>
      <c r="M49" s="196"/>
      <c r="N49" s="196"/>
      <c r="O49" s="196"/>
      <c r="P49" s="196"/>
      <c r="Q49" s="196"/>
      <c r="R49" s="196"/>
    </row>
    <row r="50" spans="1:18" ht="12.75">
      <c r="A50" s="56"/>
      <c r="B50" s="49"/>
      <c r="C50" s="177" t="s">
        <v>1152</v>
      </c>
      <c r="D50" s="19">
        <f>IF(D41=0,0,IF(Design!E234&gt;0,14,7))*D59</f>
        <v>0</v>
      </c>
      <c r="E50" s="19">
        <f>IF(D41&gt;0,0.2,0)</f>
        <v>0</v>
      </c>
      <c r="F50" s="106"/>
      <c r="G50" s="106"/>
      <c r="H50" s="69">
        <f>CHOOSE((D7+1),0,0,0,0,0.0001,0.0002,0.0003,0.0005,0.00075,0.001,0.0015,0.0015,0.0015,0.002,0.002,0.002,0.002,0.0025,0.0025,0.0025,0.0025,0.003)*IF(D41=0,0,1)</f>
        <v>0</v>
      </c>
      <c r="I50" s="83"/>
      <c r="J50" s="56"/>
      <c r="K50" s="56"/>
      <c r="L50" s="56"/>
      <c r="M50" s="196"/>
      <c r="N50" s="196"/>
      <c r="O50" s="196"/>
      <c r="P50" s="196"/>
      <c r="Q50" s="196"/>
      <c r="R50" s="196"/>
    </row>
    <row r="51" spans="1:18" ht="12.75">
      <c r="A51" s="56"/>
      <c r="B51" s="49"/>
      <c r="C51" s="13" t="s">
        <v>341</v>
      </c>
      <c r="D51" s="105">
        <f>SUM(D49:D50)</f>
        <v>0</v>
      </c>
      <c r="E51" s="105">
        <f>SUM(E49:E50)</f>
        <v>0</v>
      </c>
      <c r="F51" s="145"/>
      <c r="G51" s="105">
        <f>G49</f>
        <v>0</v>
      </c>
      <c r="H51" s="139">
        <f>SUM(H49:H50)</f>
        <v>0</v>
      </c>
      <c r="I51" s="83"/>
      <c r="J51" s="56"/>
      <c r="K51" s="56"/>
      <c r="L51" s="56"/>
      <c r="M51" s="196"/>
      <c r="N51" s="196"/>
      <c r="O51" s="196"/>
      <c r="P51" s="196"/>
      <c r="Q51" s="196"/>
      <c r="R51" s="196"/>
    </row>
    <row r="52" spans="1:18" ht="12.75">
      <c r="A52" s="56"/>
      <c r="B52" s="49"/>
      <c r="C52" s="52"/>
      <c r="D52" s="255"/>
      <c r="E52" s="255"/>
      <c r="F52" s="255"/>
      <c r="G52" s="255"/>
      <c r="H52" s="98"/>
      <c r="I52" s="83"/>
      <c r="J52" s="56"/>
      <c r="K52" s="56"/>
      <c r="L52" s="56"/>
      <c r="M52" s="196"/>
      <c r="N52" s="196"/>
      <c r="O52" s="196"/>
      <c r="P52" s="196"/>
      <c r="Q52" s="196"/>
      <c r="R52" s="196"/>
    </row>
    <row r="53" spans="1:18" ht="12.75">
      <c r="A53" s="56"/>
      <c r="B53" s="49"/>
      <c r="C53" s="205" t="s">
        <v>1153</v>
      </c>
      <c r="D53" s="97"/>
      <c r="E53" s="255"/>
      <c r="F53" s="255"/>
      <c r="G53" s="255"/>
      <c r="H53" s="98"/>
      <c r="I53" s="83"/>
      <c r="J53" s="56"/>
      <c r="K53" s="56"/>
      <c r="L53" s="56"/>
      <c r="M53" s="196"/>
      <c r="N53" s="196"/>
      <c r="O53" s="196"/>
      <c r="P53" s="196"/>
      <c r="Q53" s="196"/>
      <c r="R53" s="196"/>
    </row>
    <row r="54" spans="1:18" ht="12.75">
      <c r="A54" s="56"/>
      <c r="B54" s="49"/>
      <c r="C54" s="260" t="s">
        <v>1154</v>
      </c>
      <c r="D54" s="144">
        <f>D51+D37*D40</f>
        <v>1953</v>
      </c>
      <c r="E54" s="255"/>
      <c r="F54" s="255"/>
      <c r="G54" s="255"/>
      <c r="H54" s="98"/>
      <c r="I54" s="83"/>
      <c r="J54" s="56"/>
      <c r="K54" s="56"/>
      <c r="L54" s="56"/>
      <c r="M54" s="196"/>
      <c r="N54" s="196"/>
      <c r="O54" s="196"/>
      <c r="P54" s="196"/>
      <c r="Q54" s="196"/>
      <c r="R54" s="196"/>
    </row>
    <row r="55" spans="1:18" ht="12.75">
      <c r="A55" s="56"/>
      <c r="B55" s="49"/>
      <c r="C55" s="260" t="s">
        <v>1155</v>
      </c>
      <c r="D55" s="144">
        <f>E51+(E37*D40)</f>
        <v>2238.3</v>
      </c>
      <c r="E55" s="255"/>
      <c r="F55" s="255"/>
      <c r="G55" s="255"/>
      <c r="H55" s="98"/>
      <c r="I55" s="83"/>
      <c r="J55" s="56"/>
      <c r="K55" s="56"/>
      <c r="L55" s="56"/>
      <c r="M55" s="196"/>
      <c r="N55" s="196"/>
      <c r="O55" s="196"/>
      <c r="P55" s="196"/>
      <c r="Q55" s="196"/>
      <c r="R55" s="196"/>
    </row>
    <row r="56" spans="1:18" ht="12.75">
      <c r="A56" s="56"/>
      <c r="B56" s="49"/>
      <c r="C56" s="260" t="s">
        <v>1156</v>
      </c>
      <c r="D56" s="144">
        <f>CHOOSE((D$8+1),CHOOSE((D$19+1),D16*F37,10,16,90,150),CHOOSE((((D$19+1)-1)+1),D16*F37,0,0,90,150),D16*F37^2,D16*F37,D16*F37)*D40</f>
        <v>25</v>
      </c>
      <c r="E56" s="255"/>
      <c r="F56" s="255"/>
      <c r="G56" s="255"/>
      <c r="H56" s="98"/>
      <c r="I56" s="83"/>
      <c r="J56" s="56"/>
      <c r="K56" s="56"/>
      <c r="L56" s="56"/>
      <c r="M56" s="196"/>
      <c r="N56" s="196"/>
      <c r="O56" s="196"/>
      <c r="P56" s="196"/>
      <c r="Q56" s="196"/>
      <c r="R56" s="196"/>
    </row>
    <row r="57" spans="1:18" ht="12.75">
      <c r="A57" s="56"/>
      <c r="B57" s="49"/>
      <c r="C57" s="260" t="s">
        <v>1157</v>
      </c>
      <c r="D57" s="144">
        <f>G51+(G37*D40)</f>
        <v>347.55552222222224</v>
      </c>
      <c r="E57" s="255"/>
      <c r="F57" s="255"/>
      <c r="G57" s="255"/>
      <c r="H57" s="98"/>
      <c r="I57" s="83"/>
      <c r="J57" s="56"/>
      <c r="K57" s="56"/>
      <c r="L57" s="56"/>
      <c r="M57" s="196"/>
      <c r="N57" s="196"/>
      <c r="O57" s="196"/>
      <c r="P57" s="196"/>
      <c r="Q57" s="196"/>
      <c r="R57" s="196"/>
    </row>
    <row r="58" spans="1:18" ht="12.75">
      <c r="A58" s="56"/>
      <c r="B58" s="49"/>
      <c r="C58" s="260" t="s">
        <v>1158</v>
      </c>
      <c r="D58" s="116">
        <f>H51+(H37*D40)</f>
        <v>166.253</v>
      </c>
      <c r="E58" s="255"/>
      <c r="F58" s="255"/>
      <c r="G58" s="255"/>
      <c r="H58" s="98"/>
      <c r="I58" s="83"/>
      <c r="J58" s="56"/>
      <c r="K58" s="56"/>
      <c r="L58" s="56"/>
      <c r="M58" s="196"/>
      <c r="N58" s="196"/>
      <c r="O58" s="196"/>
      <c r="P58" s="196"/>
      <c r="Q58" s="196"/>
      <c r="R58" s="196"/>
    </row>
    <row r="59" spans="1:18" ht="12.75">
      <c r="A59" s="56"/>
      <c r="B59" s="49"/>
      <c r="C59" s="261" t="s">
        <v>1159</v>
      </c>
      <c r="D59" s="146">
        <f>D13*D40</f>
        <v>4</v>
      </c>
      <c r="E59" s="255"/>
      <c r="F59" s="255"/>
      <c r="G59" s="255"/>
      <c r="H59" s="98"/>
      <c r="I59" s="83"/>
      <c r="J59" s="56"/>
      <c r="K59" s="56"/>
      <c r="L59" s="56"/>
      <c r="M59" s="196"/>
      <c r="N59" s="196"/>
      <c r="O59" s="196"/>
      <c r="P59" s="196"/>
      <c r="Q59" s="196"/>
      <c r="R59" s="196"/>
    </row>
    <row r="60" spans="1:18" ht="12.75">
      <c r="A60" s="56"/>
      <c r="B60" s="259"/>
      <c r="C60" s="256"/>
      <c r="D60" s="256"/>
      <c r="E60" s="256"/>
      <c r="F60" s="256"/>
      <c r="G60" s="256"/>
      <c r="H60" s="143"/>
      <c r="I60" s="258"/>
      <c r="J60" s="56"/>
      <c r="K60" s="56"/>
      <c r="L60" s="56"/>
      <c r="M60" s="196"/>
      <c r="N60" s="196"/>
      <c r="O60" s="196"/>
      <c r="P60" s="196"/>
      <c r="Q60" s="196"/>
      <c r="R60" s="196"/>
    </row>
    <row r="61" spans="1:18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96"/>
      <c r="N61" s="196"/>
      <c r="O61" s="196"/>
      <c r="P61" s="196"/>
      <c r="Q61" s="196"/>
      <c r="R61" s="196"/>
    </row>
    <row r="62" spans="1:18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96"/>
      <c r="N62" s="196"/>
      <c r="O62" s="196"/>
      <c r="P62" s="196"/>
      <c r="Q62" s="196"/>
      <c r="R62" s="196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96"/>
      <c r="N63" s="196"/>
      <c r="O63" s="196"/>
      <c r="P63" s="196"/>
      <c r="Q63" s="196"/>
      <c r="R63" s="19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96"/>
      <c r="N64" s="196"/>
      <c r="O64" s="196"/>
      <c r="P64" s="196"/>
      <c r="Q64" s="196"/>
      <c r="R64" s="19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96"/>
      <c r="N65" s="196"/>
      <c r="O65" s="196"/>
      <c r="P65" s="196"/>
      <c r="Q65" s="196"/>
      <c r="R65" s="19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96"/>
      <c r="N66" s="196"/>
      <c r="O66" s="196"/>
      <c r="P66" s="196"/>
      <c r="Q66" s="196"/>
      <c r="R66" s="19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96"/>
      <c r="N67" s="196"/>
      <c r="O67" s="196"/>
      <c r="P67" s="196"/>
      <c r="Q67" s="196"/>
      <c r="R67" s="19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96"/>
      <c r="N68" s="196"/>
      <c r="O68" s="196"/>
      <c r="P68" s="196"/>
      <c r="Q68" s="196"/>
      <c r="R68" s="19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96"/>
      <c r="N69" s="196"/>
      <c r="O69" s="196"/>
      <c r="P69" s="196"/>
      <c r="Q69" s="196"/>
      <c r="R69" s="19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96"/>
      <c r="N70" s="196"/>
      <c r="O70" s="196"/>
      <c r="P70" s="196"/>
      <c r="Q70" s="196"/>
      <c r="R70" s="19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96"/>
      <c r="N71" s="196"/>
      <c r="O71" s="196"/>
      <c r="P71" s="196"/>
      <c r="Q71" s="196"/>
      <c r="R71" s="19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96"/>
      <c r="N72" s="196"/>
      <c r="O72" s="196"/>
      <c r="P72" s="196"/>
      <c r="Q72" s="196"/>
      <c r="R72" s="19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96"/>
      <c r="N73" s="196"/>
      <c r="O73" s="196"/>
      <c r="P73" s="196"/>
      <c r="Q73" s="196"/>
      <c r="R73" s="19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196"/>
      <c r="N74" s="196"/>
      <c r="O74" s="196"/>
      <c r="P74" s="196"/>
      <c r="Q74" s="196"/>
      <c r="R74" s="19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196"/>
      <c r="N75" s="196"/>
      <c r="O75" s="196"/>
      <c r="P75" s="196"/>
      <c r="Q75" s="196"/>
      <c r="R75" s="19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196"/>
      <c r="N76" s="196"/>
      <c r="O76" s="196"/>
      <c r="P76" s="196"/>
      <c r="Q76" s="196"/>
      <c r="R76" s="19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196"/>
      <c r="N77" s="196"/>
      <c r="O77" s="196"/>
      <c r="P77" s="196"/>
      <c r="Q77" s="196"/>
      <c r="R77" s="19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96"/>
      <c r="N78" s="196"/>
      <c r="O78" s="196"/>
      <c r="P78" s="196"/>
      <c r="Q78" s="196"/>
      <c r="R78" s="19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196"/>
      <c r="N79" s="196"/>
      <c r="O79" s="196"/>
      <c r="P79" s="196"/>
      <c r="Q79" s="196"/>
      <c r="R79" s="19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196"/>
      <c r="N80" s="196"/>
      <c r="O80" s="196"/>
      <c r="P80" s="196"/>
      <c r="Q80" s="196"/>
      <c r="R80" s="19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196"/>
      <c r="N81" s="196"/>
      <c r="O81" s="196"/>
      <c r="P81" s="196"/>
      <c r="Q81" s="196"/>
      <c r="R81" s="19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96"/>
      <c r="N82" s="196"/>
      <c r="O82" s="196"/>
      <c r="P82" s="196"/>
      <c r="Q82" s="196"/>
      <c r="R82" s="19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196"/>
      <c r="N83" s="196"/>
      <c r="O83" s="196"/>
      <c r="P83" s="196"/>
      <c r="Q83" s="196"/>
      <c r="R83" s="196"/>
    </row>
    <row r="84" spans="1:18" ht="12.75">
      <c r="A84" s="19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196"/>
      <c r="N84" s="196"/>
      <c r="O84" s="196"/>
      <c r="P84" s="196"/>
      <c r="Q84" s="196"/>
      <c r="R84" s="196"/>
    </row>
    <row r="85" spans="1:18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</row>
    <row r="86" spans="1:18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</row>
    <row r="87" spans="1:18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</row>
    <row r="88" spans="1:18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</row>
    <row r="89" spans="1:18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</row>
    <row r="90" spans="1:18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</row>
    <row r="91" spans="1:18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</row>
    <row r="92" spans="1:18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R8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14.421875" style="0" customWidth="1"/>
    <col min="8" max="8" width="12.7109375" style="0" customWidth="1"/>
    <col min="9" max="9" width="1.1484375" style="0" customWidth="1"/>
    <col min="10" max="10" width="60.7109375" style="0" customWidth="1"/>
  </cols>
  <sheetData>
    <row r="1" spans="1:18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96"/>
      <c r="N1" s="196"/>
      <c r="O1" s="196"/>
      <c r="P1" s="196"/>
      <c r="Q1" s="196"/>
      <c r="R1" s="196"/>
    </row>
    <row r="2" spans="1:18" ht="15.75">
      <c r="A2" s="56"/>
      <c r="B2" s="182"/>
      <c r="C2" s="246" t="s">
        <v>1231</v>
      </c>
      <c r="D2" s="248"/>
      <c r="E2" s="248"/>
      <c r="F2" s="248"/>
      <c r="G2" s="248"/>
      <c r="H2" s="248"/>
      <c r="I2" s="251"/>
      <c r="J2" s="56"/>
      <c r="K2" s="56"/>
      <c r="L2" s="56"/>
      <c r="M2" s="196"/>
      <c r="N2" s="196"/>
      <c r="O2" s="196"/>
      <c r="P2" s="196"/>
      <c r="Q2" s="196"/>
      <c r="R2" s="196"/>
    </row>
    <row r="3" spans="1:18" ht="12.75">
      <c r="A3" s="56"/>
      <c r="B3" s="47"/>
      <c r="C3" s="52"/>
      <c r="D3" s="52"/>
      <c r="E3" s="52"/>
      <c r="F3" s="52"/>
      <c r="G3" s="52"/>
      <c r="H3" s="52"/>
      <c r="I3" s="83"/>
      <c r="J3" s="56"/>
      <c r="K3" s="56"/>
      <c r="L3" s="56"/>
      <c r="M3" s="196"/>
      <c r="N3" s="196"/>
      <c r="O3" s="196"/>
      <c r="P3" s="196"/>
      <c r="Q3" s="196"/>
      <c r="R3" s="196"/>
    </row>
    <row r="4" spans="1:18" ht="12.75">
      <c r="A4" s="56"/>
      <c r="B4" s="47"/>
      <c r="C4" s="40" t="s">
        <v>1115</v>
      </c>
      <c r="D4" s="310" t="s">
        <v>1232</v>
      </c>
      <c r="E4" s="230"/>
      <c r="F4" s="231"/>
      <c r="G4" s="52"/>
      <c r="H4" s="52"/>
      <c r="I4" s="83"/>
      <c r="J4" s="56"/>
      <c r="K4" s="56"/>
      <c r="L4" s="56"/>
      <c r="M4" s="196"/>
      <c r="N4" s="196"/>
      <c r="O4" s="196"/>
      <c r="P4" s="196"/>
      <c r="Q4" s="196"/>
      <c r="R4" s="196"/>
    </row>
    <row r="5" spans="1:18" ht="12.75">
      <c r="A5" s="56"/>
      <c r="B5" s="47"/>
      <c r="C5" s="52"/>
      <c r="D5" s="52"/>
      <c r="E5" s="52"/>
      <c r="F5" s="52"/>
      <c r="G5" s="52"/>
      <c r="H5" s="52"/>
      <c r="I5" s="83"/>
      <c r="J5" s="56"/>
      <c r="K5" s="56"/>
      <c r="L5" s="56"/>
      <c r="M5" s="196"/>
      <c r="N5" s="196"/>
      <c r="O5" s="196"/>
      <c r="P5" s="196"/>
      <c r="Q5" s="196"/>
      <c r="R5" s="196"/>
    </row>
    <row r="6" spans="1:18" ht="12.75">
      <c r="A6" s="56"/>
      <c r="B6" s="47"/>
      <c r="C6" s="205" t="s">
        <v>1216</v>
      </c>
      <c r="D6" s="210"/>
      <c r="E6" s="210"/>
      <c r="F6" s="212"/>
      <c r="G6" s="52"/>
      <c r="H6" s="52"/>
      <c r="I6" s="83"/>
      <c r="J6" s="56"/>
      <c r="K6" s="56"/>
      <c r="L6" s="56"/>
      <c r="M6" s="196"/>
      <c r="N6" s="196"/>
      <c r="O6" s="196"/>
      <c r="P6" s="196"/>
      <c r="Q6" s="196"/>
      <c r="R6" s="196"/>
    </row>
    <row r="7" spans="1:18" ht="12.75">
      <c r="A7" s="56"/>
      <c r="B7" s="47"/>
      <c r="C7" s="161" t="s">
        <v>903</v>
      </c>
      <c r="D7" s="25">
        <v>12</v>
      </c>
      <c r="E7" s="154"/>
      <c r="F7" s="172"/>
      <c r="G7" s="52"/>
      <c r="H7" s="52"/>
      <c r="I7" s="83"/>
      <c r="J7" s="56"/>
      <c r="K7" s="56"/>
      <c r="L7" s="56"/>
      <c r="M7" s="196"/>
      <c r="N7" s="196"/>
      <c r="O7" s="196"/>
      <c r="P7" s="196"/>
      <c r="Q7" s="196"/>
      <c r="R7" s="196"/>
    </row>
    <row r="8" spans="1:18" ht="12.75">
      <c r="A8" s="56"/>
      <c r="B8" s="47"/>
      <c r="C8" s="161" t="s">
        <v>1217</v>
      </c>
      <c r="D8" s="25">
        <v>4</v>
      </c>
      <c r="E8" s="222" t="str">
        <f>CHOOSE((D8+1),"Turret","Bay","Fixed","Parallel","Spinal")</f>
        <v>Spinal</v>
      </c>
      <c r="F8" s="226"/>
      <c r="G8" s="52"/>
      <c r="H8" s="52"/>
      <c r="I8" s="83"/>
      <c r="J8" s="56"/>
      <c r="K8" s="56"/>
      <c r="L8" s="56"/>
      <c r="M8" s="196"/>
      <c r="N8" s="196"/>
      <c r="O8" s="196"/>
      <c r="P8" s="196"/>
      <c r="Q8" s="196"/>
      <c r="R8" s="196"/>
    </row>
    <row r="9" spans="1:18" ht="12.75">
      <c r="A9" s="56"/>
      <c r="B9" s="47"/>
      <c r="C9" s="161" t="s">
        <v>1230</v>
      </c>
      <c r="D9" s="25">
        <v>100</v>
      </c>
      <c r="E9" s="27" t="str">
        <f>CHOOSE((D8+1),CHOOSE((D19+1),IF(D9&gt;Tables!F39,"Size Violation"," "),IF(D9&gt;4.18,"Size violation"," "),IF(D9&gt;5.26,"Size Violation"," "),IF(D9&gt;12,"Size Violation"," "),IF(D9&gt;16,"Size Violation"," ")),CHOOSE((((D19+1)-1)+1),IF(D9&gt;Tables!F39,"Size Violation"," "),IF(D9&gt;4.18,"Size violation"," "),IF(D9&gt;5.26,"Size Violation"," "),IF(D9&gt;12,"Size Violation"," "),IF(D9&gt;16,"Size Violation"," ")),IF(D9&gt;Tables!F39,"Size Violation"," "),IF(D9&gt;Tables!F39,"Size Violation"," "),IF(D9&gt;Tables!F39,"Size Violation"," "))</f>
        <v>Size Violation</v>
      </c>
      <c r="F9" s="216"/>
      <c r="G9" s="52"/>
      <c r="H9" s="52"/>
      <c r="I9" s="83"/>
      <c r="J9" s="56"/>
      <c r="K9" s="56"/>
      <c r="L9" s="56"/>
      <c r="M9" s="196"/>
      <c r="N9" s="196"/>
      <c r="O9" s="196"/>
      <c r="P9" s="196"/>
      <c r="Q9" s="196"/>
      <c r="R9" s="196"/>
    </row>
    <row r="10" spans="1:18" ht="12.75">
      <c r="A10" s="56"/>
      <c r="B10" s="47"/>
      <c r="C10" s="161" t="s">
        <v>1122</v>
      </c>
      <c r="D10" s="25">
        <v>10000</v>
      </c>
      <c r="E10" s="168"/>
      <c r="F10" s="172"/>
      <c r="G10" s="52"/>
      <c r="H10" s="52"/>
      <c r="I10" s="83"/>
      <c r="J10" s="56"/>
      <c r="K10" s="56"/>
      <c r="L10" s="56"/>
      <c r="M10" s="196"/>
      <c r="N10" s="196"/>
      <c r="O10" s="196"/>
      <c r="P10" s="196"/>
      <c r="Q10" s="196"/>
      <c r="R10" s="196"/>
    </row>
    <row r="11" spans="1:18" ht="12.75">
      <c r="A11" s="56"/>
      <c r="B11" s="47"/>
      <c r="C11" s="276" t="s">
        <v>1123</v>
      </c>
      <c r="D11" s="281">
        <f>ROUND(Tables!E463,0)</f>
        <v>100000</v>
      </c>
      <c r="E11" s="168"/>
      <c r="F11" s="172"/>
      <c r="G11" s="52"/>
      <c r="H11" s="52"/>
      <c r="I11" s="83"/>
      <c r="J11" s="56"/>
      <c r="K11" s="56"/>
      <c r="L11" s="56"/>
      <c r="M11" s="196"/>
      <c r="N11" s="196"/>
      <c r="O11" s="196"/>
      <c r="P11" s="196"/>
      <c r="Q11" s="196"/>
      <c r="R11" s="196"/>
    </row>
    <row r="12" spans="1:18" ht="12.75">
      <c r="A12" s="56"/>
      <c r="B12" s="47"/>
      <c r="C12" s="276" t="s">
        <v>1124</v>
      </c>
      <c r="D12" s="25">
        <v>1</v>
      </c>
      <c r="E12" s="27" t="str">
        <f>CHOOSE((D12+1),"Short (30,000km)","Long (300,000km)")</f>
        <v>Long (300,000km)</v>
      </c>
      <c r="F12" s="226"/>
      <c r="G12" s="52"/>
      <c r="H12" s="52"/>
      <c r="I12" s="83"/>
      <c r="J12" s="56"/>
      <c r="K12" s="56"/>
      <c r="L12" s="56"/>
      <c r="M12" s="196"/>
      <c r="N12" s="196"/>
      <c r="O12" s="196"/>
      <c r="P12" s="196"/>
      <c r="Q12" s="196"/>
      <c r="R12" s="196"/>
    </row>
    <row r="13" spans="1:18" ht="12.75">
      <c r="A13" s="56"/>
      <c r="B13" s="47"/>
      <c r="C13" s="47" t="s">
        <v>1223</v>
      </c>
      <c r="D13" s="30">
        <f>MAX(ROUND(0.01*Tables!$E$148*D30,0),1)</f>
        <v>33</v>
      </c>
      <c r="E13" s="168"/>
      <c r="F13" s="172"/>
      <c r="G13" s="52"/>
      <c r="H13" s="52"/>
      <c r="I13" s="83"/>
      <c r="J13" s="56"/>
      <c r="K13" s="56"/>
      <c r="L13" s="56"/>
      <c r="M13" s="196"/>
      <c r="N13" s="196"/>
      <c r="O13" s="196"/>
      <c r="P13" s="196"/>
      <c r="Q13" s="196"/>
      <c r="R13" s="196"/>
    </row>
    <row r="14" spans="1:18" ht="12.75">
      <c r="A14" s="56"/>
      <c r="B14" s="47"/>
      <c r="C14" s="177" t="s">
        <v>1126</v>
      </c>
      <c r="D14" s="25">
        <v>1</v>
      </c>
      <c r="E14" s="222" t="str">
        <f>IF(D14=0,"No","Yes")</f>
        <v>Yes</v>
      </c>
      <c r="F14" s="226"/>
      <c r="G14" s="52"/>
      <c r="H14" s="52"/>
      <c r="I14" s="83"/>
      <c r="J14" s="56"/>
      <c r="K14" s="56"/>
      <c r="L14" s="56"/>
      <c r="M14" s="196"/>
      <c r="N14" s="196"/>
      <c r="O14" s="196"/>
      <c r="P14" s="196"/>
      <c r="Q14" s="196"/>
      <c r="R14" s="196"/>
    </row>
    <row r="15" spans="1:18" ht="12.75">
      <c r="A15" s="56"/>
      <c r="B15" s="47"/>
      <c r="C15" s="177" t="s">
        <v>1127</v>
      </c>
      <c r="D15" s="25">
        <v>1</v>
      </c>
      <c r="E15" s="222" t="str">
        <f>IF(D15=0,"No","Yes")</f>
        <v>Yes</v>
      </c>
      <c r="F15" s="226"/>
      <c r="G15" s="52"/>
      <c r="H15" s="52"/>
      <c r="I15" s="83"/>
      <c r="J15" s="56"/>
      <c r="K15" s="56"/>
      <c r="L15" s="56"/>
      <c r="M15" s="196"/>
      <c r="N15" s="196"/>
      <c r="O15" s="196"/>
      <c r="P15" s="196"/>
      <c r="Q15" s="196"/>
      <c r="R15" s="196"/>
    </row>
    <row r="16" spans="1:18" ht="12.75">
      <c r="A16" s="56"/>
      <c r="B16" s="47"/>
      <c r="C16" s="161" t="s">
        <v>1148</v>
      </c>
      <c r="D16" s="25">
        <v>1</v>
      </c>
      <c r="E16" s="163">
        <f>IF(D16&gt;10,"Error: Max 10","")</f>
      </c>
      <c r="F16" s="216"/>
      <c r="G16" s="52"/>
      <c r="H16" s="52"/>
      <c r="I16" s="83"/>
      <c r="J16" s="56"/>
      <c r="K16" s="56"/>
      <c r="L16" s="56"/>
      <c r="M16" s="196"/>
      <c r="N16" s="196"/>
      <c r="O16" s="196"/>
      <c r="P16" s="196"/>
      <c r="Q16" s="196"/>
      <c r="R16" s="196"/>
    </row>
    <row r="17" spans="1:18" ht="12.75">
      <c r="A17" s="56"/>
      <c r="B17" s="47"/>
      <c r="C17" s="161" t="s">
        <v>1224</v>
      </c>
      <c r="D17" s="25">
        <v>50</v>
      </c>
      <c r="E17" s="410">
        <f>IF(D17&gt;800,"Error: Max ROF is 800","")</f>
      </c>
      <c r="F17" s="216"/>
      <c r="G17" s="52"/>
      <c r="H17" s="52"/>
      <c r="I17" s="83"/>
      <c r="J17" s="56"/>
      <c r="K17" s="56"/>
      <c r="L17" s="56"/>
      <c r="M17" s="196"/>
      <c r="N17" s="196"/>
      <c r="O17" s="196"/>
      <c r="P17" s="196"/>
      <c r="Q17" s="196"/>
      <c r="R17" s="196"/>
    </row>
    <row r="18" spans="1:18" ht="12.75">
      <c r="A18" s="56"/>
      <c r="B18" s="47"/>
      <c r="C18" s="301" t="s">
        <v>1131</v>
      </c>
      <c r="D18" s="25">
        <v>0</v>
      </c>
      <c r="E18" s="168"/>
      <c r="F18" s="172"/>
      <c r="G18" s="52"/>
      <c r="H18" s="52"/>
      <c r="I18" s="83"/>
      <c r="J18" s="56"/>
      <c r="K18" s="56"/>
      <c r="L18" s="56"/>
      <c r="M18" s="196"/>
      <c r="N18" s="196"/>
      <c r="O18" s="196"/>
      <c r="P18" s="196"/>
      <c r="Q18" s="196"/>
      <c r="R18" s="196"/>
    </row>
    <row r="19" spans="1:18" ht="12.75">
      <c r="A19" s="56"/>
      <c r="B19" s="47"/>
      <c r="C19" s="180" t="s">
        <v>1132</v>
      </c>
      <c r="D19" s="31">
        <v>0</v>
      </c>
      <c r="E19" s="224" t="str">
        <f>CHOOSE((D19+1),"None","42m turret","84m turret","50std bay","100std bay")</f>
        <v>None</v>
      </c>
      <c r="F19" s="229"/>
      <c r="G19" s="52"/>
      <c r="H19" s="52"/>
      <c r="I19" s="83"/>
      <c r="J19" s="56"/>
      <c r="K19" s="56"/>
      <c r="L19" s="56"/>
      <c r="M19" s="196"/>
      <c r="N19" s="196"/>
      <c r="O19" s="196"/>
      <c r="P19" s="196"/>
      <c r="Q19" s="196"/>
      <c r="R19" s="196"/>
    </row>
    <row r="20" spans="1:18" ht="12.75">
      <c r="A20" s="56"/>
      <c r="B20" s="47"/>
      <c r="C20" s="52"/>
      <c r="D20" s="52"/>
      <c r="E20" s="52"/>
      <c r="F20" s="52"/>
      <c r="G20" s="52"/>
      <c r="H20" s="52"/>
      <c r="I20" s="83"/>
      <c r="J20" s="56"/>
      <c r="K20" s="56"/>
      <c r="L20" s="56"/>
      <c r="M20" s="196"/>
      <c r="N20" s="196"/>
      <c r="O20" s="196"/>
      <c r="P20" s="196"/>
      <c r="Q20" s="196"/>
      <c r="R20" s="196"/>
    </row>
    <row r="21" spans="1:18" ht="12.75">
      <c r="A21" s="56"/>
      <c r="B21" s="47"/>
      <c r="C21" s="205" t="s">
        <v>556</v>
      </c>
      <c r="D21" s="495" t="s">
        <v>1134</v>
      </c>
      <c r="E21" s="207" t="s">
        <v>1135</v>
      </c>
      <c r="F21" s="208"/>
      <c r="G21" s="52"/>
      <c r="H21" s="52"/>
      <c r="I21" s="83"/>
      <c r="J21" s="56"/>
      <c r="K21" s="56"/>
      <c r="L21" s="56"/>
      <c r="M21" s="196"/>
      <c r="N21" s="196"/>
      <c r="O21" s="196"/>
      <c r="P21" s="196"/>
      <c r="Q21" s="196"/>
      <c r="R21" s="196"/>
    </row>
    <row r="22" spans="1:18" ht="12.75">
      <c r="A22" s="465"/>
      <c r="B22" s="476"/>
      <c r="C22" s="254" t="s">
        <v>1136</v>
      </c>
      <c r="D22" s="541"/>
      <c r="E22" s="499">
        <f>MIN($D$10,ROUND($D$10/((ROUND((CHOOSE(($D$12+1),30000,150000,150000)/1000)/Tables!$E$441,1))^2),2))</f>
        <v>1111.11</v>
      </c>
      <c r="F22" s="226"/>
      <c r="G22" s="462"/>
      <c r="H22" s="462"/>
      <c r="I22" s="464"/>
      <c r="J22" s="465"/>
      <c r="K22" s="465"/>
      <c r="L22" s="465"/>
      <c r="M22" s="466"/>
      <c r="N22" s="466"/>
      <c r="O22" s="466"/>
      <c r="P22" s="466"/>
      <c r="Q22" s="466"/>
      <c r="R22" s="466"/>
    </row>
    <row r="23" spans="1:18" ht="12.75">
      <c r="A23" s="56"/>
      <c r="B23" s="47"/>
      <c r="C23" s="254" t="s">
        <v>1137</v>
      </c>
      <c r="D23" s="469">
        <f>MIN($D$10,ROUND($D$10/((ROUND((CHOOSE((D12+1),30000,30000)/1000)/Tables!E$460,1))^2),2))</f>
        <v>10000</v>
      </c>
      <c r="E23" s="499">
        <f>IF(D12=0,0,MIN($D$10,ROUND($D$10/((ROUND((CHOOSE(($D$12+1),30000,300000,300000)/1000)/Tables!$E$441,1))^2),2)))</f>
        <v>277.78</v>
      </c>
      <c r="F23" s="226"/>
      <c r="G23" s="52"/>
      <c r="H23" s="52"/>
      <c r="I23" s="83"/>
      <c r="J23" s="56"/>
      <c r="K23" s="56"/>
      <c r="L23" s="56"/>
      <c r="M23" s="196"/>
      <c r="N23" s="196"/>
      <c r="O23" s="196"/>
      <c r="P23" s="196"/>
      <c r="Q23" s="196"/>
      <c r="R23" s="196"/>
    </row>
    <row r="24" spans="1:18" ht="12.75">
      <c r="A24" s="56"/>
      <c r="B24" s="47"/>
      <c r="C24" s="254" t="s">
        <v>1138</v>
      </c>
      <c r="D24" s="469">
        <f>MIN($D$10,ROUND($D$10/((ROUND(((CHOOSE((D12+1),30000,30000)/1000)*2)/Tables!E$460,1))^2),2))</f>
        <v>10000</v>
      </c>
      <c r="E24" s="499">
        <f>IF(D13=0,0,MIN($D$10,ROUND($D$10/((ROUND((CHOOSE(($D$12+1),30000,600000,600000)/1000)/Tables!$E$441,1))^2),2)))</f>
        <v>69.44</v>
      </c>
      <c r="F24" s="226"/>
      <c r="G24" s="52"/>
      <c r="H24" s="52"/>
      <c r="I24" s="156"/>
      <c r="J24" s="56"/>
      <c r="K24" s="56"/>
      <c r="L24" s="56"/>
      <c r="M24" s="196"/>
      <c r="N24" s="196"/>
      <c r="O24" s="196"/>
      <c r="P24" s="196"/>
      <c r="Q24" s="196"/>
      <c r="R24" s="196"/>
    </row>
    <row r="25" spans="1:18" ht="12.75">
      <c r="A25" s="56"/>
      <c r="B25" s="47"/>
      <c r="C25" s="254" t="s">
        <v>1139</v>
      </c>
      <c r="D25" s="469">
        <f>MIN($D$10,ROUND($D$10/((ROUND(((CHOOSE((D12+1),30000,30000)/1000)*4)/Tables!E$460,1))^2),2))</f>
        <v>6944.44</v>
      </c>
      <c r="E25" s="499">
        <f>IF(D14=0,0,MIN($D$10,ROUND($D$10/((ROUND((CHOOSE(($D$12+1),30000,1200000,1200000)/1000)/Tables!$E$441,1))^2),2)))</f>
        <v>17.36</v>
      </c>
      <c r="F25" s="226"/>
      <c r="G25" s="52"/>
      <c r="H25" s="52"/>
      <c r="I25" s="83"/>
      <c r="J25" s="56"/>
      <c r="K25" s="56"/>
      <c r="L25" s="56"/>
      <c r="M25" s="196"/>
      <c r="N25" s="196"/>
      <c r="O25" s="196"/>
      <c r="P25" s="196"/>
      <c r="Q25" s="196"/>
      <c r="R25" s="196"/>
    </row>
    <row r="26" spans="1:18" ht="12.75">
      <c r="A26" s="56"/>
      <c r="B26" s="47"/>
      <c r="C26" s="254" t="s">
        <v>1140</v>
      </c>
      <c r="D26" s="469">
        <f>MIN($D$10,ROUND($D$10/((ROUND(((CHOOSE((D12+1),30000,30000)/1000)*8)/Tables!E$460,1))^2),2))</f>
        <v>1736.11</v>
      </c>
      <c r="E26" s="499">
        <f>IF(D15&lt;2,0,MIN($D$10,ROUND($D$10/((ROUND((CHOOSE(($D$12+1),30000,2400000,2400000)/1000)/Tables!$E$441,1))^2),2)))</f>
        <v>0</v>
      </c>
      <c r="F26" s="226"/>
      <c r="G26" s="52"/>
      <c r="H26" s="52"/>
      <c r="I26" s="83"/>
      <c r="J26" s="56"/>
      <c r="K26" s="56"/>
      <c r="L26" s="56"/>
      <c r="M26" s="196"/>
      <c r="N26" s="196"/>
      <c r="O26" s="196"/>
      <c r="P26" s="196"/>
      <c r="Q26" s="196"/>
      <c r="R26" s="196"/>
    </row>
    <row r="27" spans="1:18" ht="12.75">
      <c r="A27" s="56"/>
      <c r="B27" s="47"/>
      <c r="C27" s="264" t="s">
        <v>1134</v>
      </c>
      <c r="D27" s="470" t="str">
        <f>CONCATENATE("(",IF(D15=0,"+0",CHOOSE((D7+1),"+0","+0","+0","+0","+0","+0","+0","+0","+0","+0","+3","+3","+4","+4","+5","+6","+6","+7","+7","+8","+8","+9")),") 2/",ROUND(Tables!F467,0),"-",ROUND(Tables!F468,0),"-",ROUND(Tables!F469,0),"-",ROUND(Tables!F470,0))</f>
        <v>(+4) 2/10-10-10-7</v>
      </c>
      <c r="E27" s="224" t="str">
        <f>CONCATENATE("(",IF(Tables!$E$476&gt;=0,"+",""),Tables!$E$476,IF($D$15=0,"",CHOOSE(($D$7+1),"","","","","","","","","","",",+3",",+3",",+4",",+4",",+5",",+6",",+6",",+7",",+7",",+8",",+8",",+9")),") ",IF($E$22=0,"",CONCATENATE(Tables!$H$471,":",Tables!$F$471))," ",IF($E$23=0,"",CONCATENATE(Tables!$H$472,":",Tables!$F$472))," ",IF($E$24=0,"",CONCATENATE(Tables!$H$473,":",Tables!$F$473))," ",IF($E$25=0,"",CONCATENATE(Tables!$H$474,":",Tables!$F$474))," ",IF($E$36=0,"",CONCATENATE(Tables!$H$475,":",Tables!$F$475))," ")</f>
        <v>(+0,+4) 13:13 11:11 9:9 7:7  </v>
      </c>
      <c r="F27" s="229"/>
      <c r="G27" s="52"/>
      <c r="H27" s="52"/>
      <c r="I27" s="83"/>
      <c r="J27" s="56"/>
      <c r="K27" s="56"/>
      <c r="L27" s="56"/>
      <c r="M27" s="196"/>
      <c r="N27" s="196"/>
      <c r="O27" s="196"/>
      <c r="P27" s="196"/>
      <c r="Q27" s="196"/>
      <c r="R27" s="196"/>
    </row>
    <row r="28" spans="1:18" ht="12.75">
      <c r="A28" s="56"/>
      <c r="B28" s="47"/>
      <c r="C28" s="52"/>
      <c r="D28" s="52"/>
      <c r="E28" s="52"/>
      <c r="F28" s="52"/>
      <c r="G28" s="52"/>
      <c r="H28" s="52"/>
      <c r="I28" s="83"/>
      <c r="J28" s="56"/>
      <c r="K28" s="56"/>
      <c r="L28" s="56"/>
      <c r="M28" s="196"/>
      <c r="N28" s="196"/>
      <c r="O28" s="196"/>
      <c r="P28" s="196"/>
      <c r="Q28" s="196"/>
      <c r="R28" s="196"/>
    </row>
    <row r="29" spans="1:18" ht="12.75">
      <c r="A29" s="56"/>
      <c r="B29" s="47"/>
      <c r="C29" s="205" t="s">
        <v>1141</v>
      </c>
      <c r="D29" s="207" t="s">
        <v>910</v>
      </c>
      <c r="E29" s="207" t="s">
        <v>911</v>
      </c>
      <c r="F29" s="207" t="s">
        <v>912</v>
      </c>
      <c r="G29" s="207" t="s">
        <v>913</v>
      </c>
      <c r="H29" s="142" t="s">
        <v>1142</v>
      </c>
      <c r="I29" s="83"/>
      <c r="J29" s="56"/>
      <c r="K29" s="56"/>
      <c r="L29" s="56"/>
      <c r="M29" s="196"/>
      <c r="N29" s="196"/>
      <c r="O29" s="196"/>
      <c r="P29" s="196"/>
      <c r="Q29" s="196"/>
      <c r="R29" s="196"/>
    </row>
    <row r="30" spans="1:18" ht="12.75">
      <c r="A30" s="56"/>
      <c r="B30" s="47"/>
      <c r="C30" s="177" t="s">
        <v>1225</v>
      </c>
      <c r="D30" s="19">
        <f>Tables!E461*D16</f>
        <v>10000</v>
      </c>
      <c r="E30" s="18">
        <f>D30*CHOOSE((D7+1),0,0,0,0,0,0,0,0,0,0,0,1,0.75,0.75,0.6,0.6,0.5,0.5,0.4,0.4,0.3,0.3)</f>
        <v>7500</v>
      </c>
      <c r="F30" s="18">
        <f>D30/D9*D16</f>
        <v>100</v>
      </c>
      <c r="G30" s="18">
        <f>(D17*Tables!E464*D16)/1800</f>
        <v>1388.888888888889</v>
      </c>
      <c r="H30" s="116">
        <f>D30*0.1</f>
        <v>1000</v>
      </c>
      <c r="I30" s="83"/>
      <c r="J30" s="56"/>
      <c r="K30" s="56"/>
      <c r="L30" s="56"/>
      <c r="M30" s="196"/>
      <c r="N30" s="196"/>
      <c r="O30" s="196"/>
      <c r="P30" s="196"/>
      <c r="Q30" s="196"/>
      <c r="R30" s="196"/>
    </row>
    <row r="31" spans="1:18" ht="12.75">
      <c r="A31" s="56"/>
      <c r="B31" s="47"/>
      <c r="C31" s="177" t="s">
        <v>961</v>
      </c>
      <c r="D31" s="19">
        <f>VLOOKUP(CHOOSE((D12+1),5,6,6),Tables!$D$119:$Z$125,(D7+1+1))*D16</f>
        <v>16.67</v>
      </c>
      <c r="E31" s="19">
        <f>D31</f>
        <v>16.67</v>
      </c>
      <c r="F31" s="148"/>
      <c r="G31" s="148"/>
      <c r="H31" s="120">
        <f>D31*0.1</f>
        <v>1.6670000000000003</v>
      </c>
      <c r="I31" s="83"/>
      <c r="J31" s="56"/>
      <c r="K31" s="56"/>
      <c r="L31" s="56"/>
      <c r="M31" s="196"/>
      <c r="N31" s="196"/>
      <c r="O31" s="196"/>
      <c r="P31" s="196"/>
      <c r="Q31" s="196"/>
      <c r="R31" s="196"/>
    </row>
    <row r="32" spans="1:18" ht="12.75">
      <c r="A32" s="56"/>
      <c r="B32" s="47"/>
      <c r="C32" s="177" t="s">
        <v>954</v>
      </c>
      <c r="D32" s="18">
        <f>Tables!E464*CHOOSE((D7+1),0,0,0,0,0,0,0,0.25,0.125,0.1,0.08,0.06,0.05,0.045,0.04,0.035,0.03,0.025,0.02,0.015,0.01,0.005)*D16</f>
        <v>2500</v>
      </c>
      <c r="E32" s="18">
        <f>D32*2</f>
        <v>5000</v>
      </c>
      <c r="F32" s="148"/>
      <c r="G32" s="148"/>
      <c r="H32" s="116">
        <f>D32*0.01</f>
        <v>25</v>
      </c>
      <c r="I32" s="83"/>
      <c r="J32" s="56"/>
      <c r="K32" s="56"/>
      <c r="L32" s="56"/>
      <c r="M32" s="196"/>
      <c r="N32" s="196"/>
      <c r="O32" s="196"/>
      <c r="P32" s="196"/>
      <c r="Q32" s="196"/>
      <c r="R32" s="196"/>
    </row>
    <row r="33" spans="1:18" ht="12.75">
      <c r="A33" s="56"/>
      <c r="B33" s="47"/>
      <c r="C33" s="177" t="s">
        <v>1145</v>
      </c>
      <c r="D33" s="18">
        <f>IF(D14=0,0,7)*D13</f>
        <v>231</v>
      </c>
      <c r="E33" s="18">
        <f>IF(D14=0,0,0.2)*D13</f>
        <v>6.6000000000000005</v>
      </c>
      <c r="F33" s="148"/>
      <c r="G33" s="148"/>
      <c r="H33" s="69">
        <f>CHOOSE((D7+1),0,0,0,0,0.0001,0.0002,0.0003,0.0005,0.00075,0.001,0.0015,0.0015,0.0015,0.002,0.002,0.002,0.002,0.0025,0.0025,0.0025,0.0025,0.003)*IF(D14=0,0,D13)</f>
        <v>0.0495</v>
      </c>
      <c r="I33" s="83"/>
      <c r="J33" s="56"/>
      <c r="K33" s="56"/>
      <c r="L33" s="56"/>
      <c r="M33" s="196"/>
      <c r="N33" s="196"/>
      <c r="O33" s="196"/>
      <c r="P33" s="196"/>
      <c r="Q33" s="196"/>
      <c r="R33" s="196"/>
    </row>
    <row r="34" spans="1:18" ht="12.75">
      <c r="A34" s="56"/>
      <c r="B34" s="47"/>
      <c r="C34" s="177" t="s">
        <v>1146</v>
      </c>
      <c r="D34" s="19">
        <f>IF(D15=0,0,VLOOKUP(CHOOSE((D12+1),5,6),Tables!$D$128:$Z$134,(D7+1+1)))</f>
        <v>33.33</v>
      </c>
      <c r="E34" s="19">
        <f>D34</f>
        <v>33.33</v>
      </c>
      <c r="F34" s="106"/>
      <c r="G34" s="19">
        <f>D34*0.01</f>
        <v>0.3333</v>
      </c>
      <c r="H34" s="120">
        <f>D34</f>
        <v>33.33</v>
      </c>
      <c r="I34" s="83"/>
      <c r="J34" s="56"/>
      <c r="K34" s="56"/>
      <c r="L34" s="56"/>
      <c r="M34" s="196"/>
      <c r="N34" s="196"/>
      <c r="O34" s="196"/>
      <c r="P34" s="196"/>
      <c r="Q34" s="196"/>
      <c r="R34" s="196"/>
    </row>
    <row r="35" spans="1:18" ht="12.75">
      <c r="A35" s="56"/>
      <c r="B35" s="47"/>
      <c r="C35" s="276" t="s">
        <v>570</v>
      </c>
      <c r="D35" s="19">
        <f>Tables!E466*Tables!F466</f>
        <v>0</v>
      </c>
      <c r="E35" s="19">
        <f>$D$35*Tables!$F$10</f>
        <v>0</v>
      </c>
      <c r="F35" s="106"/>
      <c r="G35" s="19">
        <f>$D$35*Tables!$F$12</f>
        <v>0</v>
      </c>
      <c r="H35" s="120">
        <f>$D$35*Tables!$F$11</f>
        <v>0</v>
      </c>
      <c r="I35" s="83"/>
      <c r="J35" s="56"/>
      <c r="K35" s="56"/>
      <c r="L35" s="56"/>
      <c r="M35" s="196"/>
      <c r="N35" s="196"/>
      <c r="O35" s="196"/>
      <c r="P35" s="196"/>
      <c r="Q35" s="196"/>
      <c r="R35" s="196"/>
    </row>
    <row r="36" spans="1:18" ht="12.75">
      <c r="A36" s="56"/>
      <c r="B36" s="47"/>
      <c r="C36" s="177" t="s">
        <v>1132</v>
      </c>
      <c r="D36" s="18">
        <f>IF(D19=0,0,CHOOSE((D19+1),0,42,84,700,1400)-SUM(D30:D35))</f>
        <v>0</v>
      </c>
      <c r="E36" s="237"/>
      <c r="F36" s="237"/>
      <c r="G36" s="148"/>
      <c r="H36" s="75"/>
      <c r="I36" s="83"/>
      <c r="J36" s="56"/>
      <c r="K36" s="56"/>
      <c r="L36" s="56"/>
      <c r="M36" s="196"/>
      <c r="N36" s="196"/>
      <c r="O36" s="196"/>
      <c r="P36" s="196"/>
      <c r="Q36" s="196"/>
      <c r="R36" s="196"/>
    </row>
    <row r="37" spans="1:18" ht="12.75">
      <c r="A37" s="56"/>
      <c r="B37" s="47"/>
      <c r="C37" s="13" t="s">
        <v>341</v>
      </c>
      <c r="D37" s="105">
        <f>IF(D36&lt;0,#VALUE!,SUM(D30:D36))</f>
        <v>12781</v>
      </c>
      <c r="E37" s="105">
        <f>SUM(E30:E36)</f>
        <v>12556.6</v>
      </c>
      <c r="F37" s="105">
        <f>SUM(F30:F36)</f>
        <v>100</v>
      </c>
      <c r="G37" s="105">
        <f>SUM(G30:G36)</f>
        <v>1389.222188888889</v>
      </c>
      <c r="H37" s="139">
        <f>SUM(H30:H36)</f>
        <v>1060.0465</v>
      </c>
      <c r="I37" s="83"/>
      <c r="J37" s="56"/>
      <c r="K37" s="56"/>
      <c r="L37" s="56"/>
      <c r="M37" s="196"/>
      <c r="N37" s="196"/>
      <c r="O37" s="196"/>
      <c r="P37" s="196"/>
      <c r="Q37" s="196"/>
      <c r="R37" s="196"/>
    </row>
    <row r="38" spans="1:18" ht="12.75">
      <c r="A38" s="56"/>
      <c r="B38" s="47"/>
      <c r="C38" s="52"/>
      <c r="D38" s="52"/>
      <c r="E38" s="52"/>
      <c r="F38" s="52"/>
      <c r="G38" s="52"/>
      <c r="H38" s="52"/>
      <c r="I38" s="83"/>
      <c r="J38" s="56"/>
      <c r="K38" s="56"/>
      <c r="L38" s="56"/>
      <c r="M38" s="196"/>
      <c r="N38" s="196"/>
      <c r="O38" s="196"/>
      <c r="P38" s="196"/>
      <c r="Q38" s="196"/>
      <c r="R38" s="196"/>
    </row>
    <row r="39" spans="1:18" ht="12.75">
      <c r="A39" s="56"/>
      <c r="B39" s="49"/>
      <c r="C39" s="205" t="s">
        <v>1147</v>
      </c>
      <c r="D39" s="102"/>
      <c r="E39" s="102"/>
      <c r="F39" s="103"/>
      <c r="G39" s="255"/>
      <c r="H39" s="98"/>
      <c r="I39" s="83"/>
      <c r="J39" s="56"/>
      <c r="K39" s="56"/>
      <c r="L39" s="56"/>
      <c r="M39" s="196"/>
      <c r="N39" s="196"/>
      <c r="O39" s="196"/>
      <c r="P39" s="196"/>
      <c r="Q39" s="196"/>
      <c r="R39" s="196"/>
    </row>
    <row r="40" spans="1:18" ht="12.75">
      <c r="A40" s="56"/>
      <c r="B40" s="49"/>
      <c r="C40" s="254" t="s">
        <v>1148</v>
      </c>
      <c r="D40" s="37">
        <v>1</v>
      </c>
      <c r="E40" s="110" t="str">
        <f>IF(D40*D16&gt;10,"Error: Max 10"," ")</f>
        <v> </v>
      </c>
      <c r="F40" s="228"/>
      <c r="G40" s="255"/>
      <c r="H40" s="98"/>
      <c r="I40" s="83"/>
      <c r="J40" s="56"/>
      <c r="K40" s="56"/>
      <c r="L40" s="56"/>
      <c r="M40" s="196"/>
      <c r="N40" s="196"/>
      <c r="O40" s="196"/>
      <c r="P40" s="196"/>
      <c r="Q40" s="196"/>
      <c r="R40" s="196"/>
    </row>
    <row r="41" spans="1:18" ht="12.75">
      <c r="A41" s="56"/>
      <c r="B41" s="49"/>
      <c r="C41" s="177" t="s">
        <v>1149</v>
      </c>
      <c r="D41" s="30">
        <f>IF(D40&gt;1,IF(D14=0,1,0),0)</f>
        <v>0</v>
      </c>
      <c r="E41" s="110"/>
      <c r="F41" s="228"/>
      <c r="G41" s="255"/>
      <c r="H41" s="98"/>
      <c r="I41" s="83"/>
      <c r="J41" s="56"/>
      <c r="K41" s="56"/>
      <c r="L41" s="56"/>
      <c r="M41" s="196"/>
      <c r="N41" s="196"/>
      <c r="O41" s="196"/>
      <c r="P41" s="196"/>
      <c r="Q41" s="196"/>
      <c r="R41" s="196"/>
    </row>
    <row r="42" spans="1:18" ht="12.75">
      <c r="A42" s="56"/>
      <c r="B42" s="49"/>
      <c r="C42" s="179" t="s">
        <v>1127</v>
      </c>
      <c r="D42" s="147">
        <f>IF(D40&gt;1,1,0)</f>
        <v>0</v>
      </c>
      <c r="E42" s="59"/>
      <c r="F42" s="229"/>
      <c r="G42" s="255"/>
      <c r="H42" s="98"/>
      <c r="I42" s="83"/>
      <c r="J42" s="56"/>
      <c r="K42" s="56"/>
      <c r="L42" s="56"/>
      <c r="M42" s="196"/>
      <c r="N42" s="196"/>
      <c r="O42" s="196"/>
      <c r="P42" s="196"/>
      <c r="Q42" s="196"/>
      <c r="R42" s="196"/>
    </row>
    <row r="43" spans="1:18" ht="12.75">
      <c r="A43" s="56"/>
      <c r="B43" s="49"/>
      <c r="C43" s="52"/>
      <c r="D43" s="255"/>
      <c r="E43" s="255"/>
      <c r="F43" s="255"/>
      <c r="G43" s="255"/>
      <c r="H43" s="98"/>
      <c r="I43" s="83"/>
      <c r="J43" s="56"/>
      <c r="K43" s="56"/>
      <c r="L43" s="56"/>
      <c r="M43" s="196"/>
      <c r="N43" s="196"/>
      <c r="O43" s="196"/>
      <c r="P43" s="196"/>
      <c r="Q43" s="196"/>
      <c r="R43" s="196"/>
    </row>
    <row r="44" spans="1:18" ht="12.75">
      <c r="A44" s="56"/>
      <c r="B44" s="49"/>
      <c r="C44" s="205" t="s">
        <v>1150</v>
      </c>
      <c r="D44" s="210"/>
      <c r="E44" s="102"/>
      <c r="F44" s="212"/>
      <c r="G44" s="52"/>
      <c r="H44" s="98"/>
      <c r="I44" s="83"/>
      <c r="J44" s="56"/>
      <c r="K44" s="56"/>
      <c r="L44" s="56"/>
      <c r="M44" s="196"/>
      <c r="N44" s="196"/>
      <c r="O44" s="196"/>
      <c r="P44" s="196"/>
      <c r="Q44" s="196"/>
      <c r="R44" s="196"/>
    </row>
    <row r="45" spans="1:18" ht="12.75">
      <c r="A45" s="465"/>
      <c r="B45" s="457"/>
      <c r="C45" s="484" t="s">
        <v>1134</v>
      </c>
      <c r="D45" s="485" t="str">
        <f>CONCATENATE("(",IF(D42+D15=0,"+0",CHOOSE((D7+1),"+0","+0","+0","+0","+0","+0","+0","+0","+0","+0","+3","+3","+4","+4","+5","+6","+6","+7","+7","+8","+8","+9")),") 2/",ROUND(Tables!G467,0),"-",ROUND(Tables!G468,0),"-",ROUND(Tables!G469,0),"-",ROUND(Tables!G470,0)," [",ROUND(D16*D40,0),",",ROUND(D17,0),"/",ROUND(Tables!E467,0),"-",ROUND(Tables!E468,0),"-",ROUND(Tables!E469,0),"-",ROUND(Tables!E470,0),"]",CHOOSE((D12+1)," (SR"," (LR"),IF(D18=0,"",CONCATENATE(" /Ar:",ROUND(VLOOKUP(D18/1.43,Tables!A2:B61,2)*10,0)," [",ROUND(D18,0),"]")),")")</f>
        <v>(+4) 2/10-10-10-7 [1,50/710-710-592-296] (LR)</v>
      </c>
      <c r="E45" s="493"/>
      <c r="F45" s="492"/>
      <c r="G45" s="462"/>
      <c r="H45" s="463"/>
      <c r="I45" s="464"/>
      <c r="J45" s="465"/>
      <c r="K45" s="465"/>
      <c r="L45" s="465"/>
      <c r="M45" s="466"/>
      <c r="N45" s="466"/>
      <c r="O45" s="466"/>
      <c r="P45" s="466"/>
      <c r="Q45" s="466"/>
      <c r="R45" s="466"/>
    </row>
    <row r="46" spans="1:18" ht="12.75">
      <c r="A46" s="56"/>
      <c r="B46" s="49"/>
      <c r="C46" s="264" t="s">
        <v>1135</v>
      </c>
      <c r="D46" s="224" t="str">
        <f>CONCATENATE("(",IF(Tables!$E$476&gt;=0,"+",""),Tables!$E$476,IF($D$15=0,"",CHOOSE(($D$7+1),"","","","","","","","","","",",+3",",+3",",+4",",+4",",+5",",+6",",+6",",+7",",+7",",+8",",+8",",+9")),") ",IF($E$22=0,"",CONCATENATE(Tables!$H$471,":",Tables!$G$471))," ",IF($E$23=0,"",CONCATENATE(Tables!$H$472,":",Tables!$G$472))," ",IF($E$24=0,"",CONCATENATE(Tables!$H$473,":",Tables!$G$473))," ",IF($E$25=0,"",CONCATENATE(Tables!$H$474,":",Tables!$G$474))," ",IF($E$36=0,"",CONCATENATE(Tables!$H$475,":",Tables!$G$475))," ")</f>
        <v>(+0,+4) 13:13 11:11 9:9 7:7  </v>
      </c>
      <c r="E46" s="59"/>
      <c r="F46" s="214"/>
      <c r="G46" s="52"/>
      <c r="H46" s="98"/>
      <c r="I46" s="83"/>
      <c r="J46" s="56"/>
      <c r="K46" s="56"/>
      <c r="L46" s="56"/>
      <c r="M46" s="196"/>
      <c r="N46" s="196"/>
      <c r="O46" s="196"/>
      <c r="P46" s="196"/>
      <c r="Q46" s="196"/>
      <c r="R46" s="196"/>
    </row>
    <row r="47" spans="1:18" ht="12.75">
      <c r="A47" s="56"/>
      <c r="B47" s="49"/>
      <c r="C47" s="52"/>
      <c r="D47" s="52"/>
      <c r="E47" s="52"/>
      <c r="F47" s="52"/>
      <c r="G47" s="52"/>
      <c r="H47" s="98"/>
      <c r="I47" s="83"/>
      <c r="J47" s="56"/>
      <c r="K47" s="56"/>
      <c r="L47" s="56"/>
      <c r="M47" s="196"/>
      <c r="N47" s="196"/>
      <c r="O47" s="196"/>
      <c r="P47" s="196"/>
      <c r="Q47" s="196"/>
      <c r="R47" s="196"/>
    </row>
    <row r="48" spans="1:18" ht="12.75">
      <c r="A48" s="56"/>
      <c r="B48" s="49"/>
      <c r="C48" s="205" t="s">
        <v>1151</v>
      </c>
      <c r="D48" s="207" t="s">
        <v>910</v>
      </c>
      <c r="E48" s="207" t="s">
        <v>911</v>
      </c>
      <c r="F48" s="207" t="s">
        <v>912</v>
      </c>
      <c r="G48" s="207" t="s">
        <v>913</v>
      </c>
      <c r="H48" s="142" t="s">
        <v>1142</v>
      </c>
      <c r="I48" s="83"/>
      <c r="J48" s="56"/>
      <c r="K48" s="56"/>
      <c r="L48" s="56"/>
      <c r="M48" s="196"/>
      <c r="N48" s="196"/>
      <c r="O48" s="196"/>
      <c r="P48" s="196"/>
      <c r="Q48" s="196"/>
      <c r="R48" s="196"/>
    </row>
    <row r="49" spans="1:18" ht="12.75">
      <c r="A49" s="56"/>
      <c r="B49" s="49"/>
      <c r="C49" s="177" t="s">
        <v>1146</v>
      </c>
      <c r="D49" s="19">
        <f>IF(D42=0,0,VLOOKUP(CHOOSE((D12+1),5,6,6),Tables!$D$128:$Z$134,(D7+1+1)))</f>
        <v>0</v>
      </c>
      <c r="E49" s="19">
        <f>D49</f>
        <v>0</v>
      </c>
      <c r="F49" s="106"/>
      <c r="G49" s="19">
        <f>D49*0.01</f>
        <v>0</v>
      </c>
      <c r="H49" s="120">
        <f>D49</f>
        <v>0</v>
      </c>
      <c r="I49" s="83"/>
      <c r="J49" s="56"/>
      <c r="K49" s="56"/>
      <c r="L49" s="56"/>
      <c r="M49" s="196"/>
      <c r="N49" s="196"/>
      <c r="O49" s="196"/>
      <c r="P49" s="196"/>
      <c r="Q49" s="196"/>
      <c r="R49" s="196"/>
    </row>
    <row r="50" spans="1:18" ht="12.75">
      <c r="A50" s="56"/>
      <c r="B50" s="49"/>
      <c r="C50" s="177" t="s">
        <v>1152</v>
      </c>
      <c r="D50" s="19">
        <f>IF(D41=0,0,IF(Design!E234&gt;0,14,7))*D59</f>
        <v>0</v>
      </c>
      <c r="E50" s="19">
        <f>IF(D41&gt;0,0.2,0)</f>
        <v>0</v>
      </c>
      <c r="F50" s="106"/>
      <c r="G50" s="106"/>
      <c r="H50" s="69">
        <f>CHOOSE((D7+1),0,0,0,0,0.0001,0.0002,0.0003,0.0005,0.00075,0.001,0.0015,0.0015,0.0015,0.002,0.002,0.002,0.002,0.0025,0.0025,0.0025,0.0025,0.003)*IF(D41=0,0,1)</f>
        <v>0</v>
      </c>
      <c r="I50" s="83"/>
      <c r="J50" s="56"/>
      <c r="K50" s="56"/>
      <c r="L50" s="56"/>
      <c r="M50" s="196"/>
      <c r="N50" s="196"/>
      <c r="O50" s="196"/>
      <c r="P50" s="196"/>
      <c r="Q50" s="196"/>
      <c r="R50" s="196"/>
    </row>
    <row r="51" spans="1:18" ht="12.75">
      <c r="A51" s="56"/>
      <c r="B51" s="49"/>
      <c r="C51" s="13" t="s">
        <v>341</v>
      </c>
      <c r="D51" s="105">
        <f>SUM(D49:D50)</f>
        <v>0</v>
      </c>
      <c r="E51" s="105">
        <f>SUM(E49:E50)</f>
        <v>0</v>
      </c>
      <c r="F51" s="145"/>
      <c r="G51" s="105">
        <f>G49</f>
        <v>0</v>
      </c>
      <c r="H51" s="139">
        <f>SUM(H49:H50)</f>
        <v>0</v>
      </c>
      <c r="I51" s="83"/>
      <c r="J51" s="56"/>
      <c r="K51" s="56"/>
      <c r="L51" s="56"/>
      <c r="M51" s="196"/>
      <c r="N51" s="196"/>
      <c r="O51" s="196"/>
      <c r="P51" s="196"/>
      <c r="Q51" s="196"/>
      <c r="R51" s="196"/>
    </row>
    <row r="52" spans="1:18" ht="12.75">
      <c r="A52" s="56"/>
      <c r="B52" s="49"/>
      <c r="C52" s="52"/>
      <c r="D52" s="255"/>
      <c r="E52" s="255"/>
      <c r="F52" s="255"/>
      <c r="G52" s="255"/>
      <c r="H52" s="98"/>
      <c r="I52" s="83"/>
      <c r="J52" s="56"/>
      <c r="K52" s="56"/>
      <c r="L52" s="56"/>
      <c r="M52" s="196"/>
      <c r="N52" s="196"/>
      <c r="O52" s="196"/>
      <c r="P52" s="196"/>
      <c r="Q52" s="196"/>
      <c r="R52" s="196"/>
    </row>
    <row r="53" spans="1:18" ht="12.75">
      <c r="A53" s="56"/>
      <c r="B53" s="49"/>
      <c r="C53" s="205" t="s">
        <v>1153</v>
      </c>
      <c r="D53" s="97"/>
      <c r="E53" s="255"/>
      <c r="F53" s="255"/>
      <c r="G53" s="255"/>
      <c r="H53" s="98"/>
      <c r="I53" s="83"/>
      <c r="J53" s="56"/>
      <c r="K53" s="56"/>
      <c r="L53" s="56"/>
      <c r="M53" s="196"/>
      <c r="N53" s="196"/>
      <c r="O53" s="196"/>
      <c r="P53" s="196"/>
      <c r="Q53" s="196"/>
      <c r="R53" s="196"/>
    </row>
    <row r="54" spans="1:18" ht="12.75">
      <c r="A54" s="56"/>
      <c r="B54" s="49"/>
      <c r="C54" s="260" t="s">
        <v>1154</v>
      </c>
      <c r="D54" s="144">
        <f>D51+D37*D40</f>
        <v>12781</v>
      </c>
      <c r="E54" s="255"/>
      <c r="F54" s="255"/>
      <c r="G54" s="255"/>
      <c r="H54" s="98"/>
      <c r="I54" s="83"/>
      <c r="J54" s="56"/>
      <c r="K54" s="56"/>
      <c r="L54" s="56"/>
      <c r="M54" s="196"/>
      <c r="N54" s="196"/>
      <c r="O54" s="196"/>
      <c r="P54" s="196"/>
      <c r="Q54" s="196"/>
      <c r="R54" s="196"/>
    </row>
    <row r="55" spans="1:18" ht="12.75">
      <c r="A55" s="56"/>
      <c r="B55" s="49"/>
      <c r="C55" s="260" t="s">
        <v>1155</v>
      </c>
      <c r="D55" s="144">
        <f>E51+(E37*D40)</f>
        <v>12556.6</v>
      </c>
      <c r="E55" s="255"/>
      <c r="F55" s="255"/>
      <c r="G55" s="255"/>
      <c r="H55" s="98"/>
      <c r="I55" s="83"/>
      <c r="J55" s="56"/>
      <c r="K55" s="56"/>
      <c r="L55" s="56"/>
      <c r="M55" s="196"/>
      <c r="N55" s="196"/>
      <c r="O55" s="196"/>
      <c r="P55" s="196"/>
      <c r="Q55" s="196"/>
      <c r="R55" s="196"/>
    </row>
    <row r="56" spans="1:18" ht="12.75">
      <c r="A56" s="56"/>
      <c r="B56" s="49"/>
      <c r="C56" s="260" t="s">
        <v>1156</v>
      </c>
      <c r="D56" s="144">
        <f>CHOOSE((D$8+1),CHOOSE((D$19+1),D16*F37,10,16,90,150),CHOOSE((((D$19+1)-1)+1),D16*F37,0,0,90,150),D16*F37^2,D16*F37,D16*F37)*D40</f>
        <v>100</v>
      </c>
      <c r="E56" s="255"/>
      <c r="F56" s="255"/>
      <c r="G56" s="255"/>
      <c r="H56" s="98"/>
      <c r="I56" s="83"/>
      <c r="J56" s="56"/>
      <c r="K56" s="56"/>
      <c r="L56" s="56"/>
      <c r="M56" s="196"/>
      <c r="N56" s="196"/>
      <c r="O56" s="196"/>
      <c r="P56" s="196"/>
      <c r="Q56" s="196"/>
      <c r="R56" s="196"/>
    </row>
    <row r="57" spans="1:18" ht="12.75">
      <c r="A57" s="56"/>
      <c r="B57" s="49"/>
      <c r="C57" s="260" t="s">
        <v>1157</v>
      </c>
      <c r="D57" s="144">
        <f>G51+(G37*D40)</f>
        <v>1389.222188888889</v>
      </c>
      <c r="E57" s="255"/>
      <c r="F57" s="255"/>
      <c r="G57" s="255"/>
      <c r="H57" s="98"/>
      <c r="I57" s="83"/>
      <c r="J57" s="56"/>
      <c r="K57" s="56"/>
      <c r="L57" s="56"/>
      <c r="M57" s="196"/>
      <c r="N57" s="196"/>
      <c r="O57" s="196"/>
      <c r="P57" s="196"/>
      <c r="Q57" s="196"/>
      <c r="R57" s="196"/>
    </row>
    <row r="58" spans="1:18" ht="12.75">
      <c r="A58" s="56"/>
      <c r="B58" s="49"/>
      <c r="C58" s="260" t="s">
        <v>1158</v>
      </c>
      <c r="D58" s="116">
        <f>H51+(H37*D40)</f>
        <v>1060.0465</v>
      </c>
      <c r="E58" s="255"/>
      <c r="F58" s="255"/>
      <c r="G58" s="255"/>
      <c r="H58" s="98"/>
      <c r="I58" s="83"/>
      <c r="J58" s="56"/>
      <c r="K58" s="56"/>
      <c r="L58" s="56"/>
      <c r="M58" s="196"/>
      <c r="N58" s="196"/>
      <c r="O58" s="196"/>
      <c r="P58" s="196"/>
      <c r="Q58" s="196"/>
      <c r="R58" s="196"/>
    </row>
    <row r="59" spans="1:18" ht="12.75">
      <c r="A59" s="56"/>
      <c r="B59" s="49"/>
      <c r="C59" s="261" t="s">
        <v>1159</v>
      </c>
      <c r="D59" s="146">
        <f>D13*D40</f>
        <v>33</v>
      </c>
      <c r="E59" s="255"/>
      <c r="F59" s="255"/>
      <c r="G59" s="255"/>
      <c r="H59" s="98"/>
      <c r="I59" s="83"/>
      <c r="J59" s="56"/>
      <c r="K59" s="56"/>
      <c r="L59" s="56"/>
      <c r="M59" s="196"/>
      <c r="N59" s="196"/>
      <c r="O59" s="196"/>
      <c r="P59" s="196"/>
      <c r="Q59" s="196"/>
      <c r="R59" s="196"/>
    </row>
    <row r="60" spans="1:18" ht="12.75">
      <c r="A60" s="56"/>
      <c r="B60" s="259"/>
      <c r="C60" s="256"/>
      <c r="D60" s="256"/>
      <c r="E60" s="256"/>
      <c r="F60" s="256"/>
      <c r="G60" s="256"/>
      <c r="H60" s="143"/>
      <c r="I60" s="258"/>
      <c r="J60" s="56"/>
      <c r="K60" s="56"/>
      <c r="L60" s="56"/>
      <c r="M60" s="196"/>
      <c r="N60" s="196"/>
      <c r="O60" s="196"/>
      <c r="P60" s="196"/>
      <c r="Q60" s="196"/>
      <c r="R60" s="196"/>
    </row>
    <row r="61" spans="1:18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96"/>
      <c r="N61" s="196"/>
      <c r="O61" s="196"/>
      <c r="P61" s="196"/>
      <c r="Q61" s="196"/>
      <c r="R61" s="196"/>
    </row>
    <row r="62" spans="1:18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96"/>
      <c r="N62" s="196"/>
      <c r="O62" s="196"/>
      <c r="P62" s="196"/>
      <c r="Q62" s="196"/>
      <c r="R62" s="196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96"/>
      <c r="N63" s="196"/>
      <c r="O63" s="196"/>
      <c r="P63" s="196"/>
      <c r="Q63" s="196"/>
      <c r="R63" s="19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96"/>
      <c r="N64" s="196"/>
      <c r="O64" s="196"/>
      <c r="P64" s="196"/>
      <c r="Q64" s="196"/>
      <c r="R64" s="19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96"/>
      <c r="N65" s="196"/>
      <c r="O65" s="196"/>
      <c r="P65" s="196"/>
      <c r="Q65" s="196"/>
      <c r="R65" s="19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96"/>
      <c r="N66" s="196"/>
      <c r="O66" s="196"/>
      <c r="P66" s="196"/>
      <c r="Q66" s="196"/>
      <c r="R66" s="19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96"/>
      <c r="N67" s="196"/>
      <c r="O67" s="196"/>
      <c r="P67" s="196"/>
      <c r="Q67" s="196"/>
      <c r="R67" s="19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96"/>
      <c r="N68" s="196"/>
      <c r="O68" s="196"/>
      <c r="P68" s="196"/>
      <c r="Q68" s="196"/>
      <c r="R68" s="19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96"/>
      <c r="N69" s="196"/>
      <c r="O69" s="196"/>
      <c r="P69" s="196"/>
      <c r="Q69" s="196"/>
      <c r="R69" s="19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196"/>
      <c r="N70" s="196"/>
      <c r="O70" s="196"/>
      <c r="P70" s="196"/>
      <c r="Q70" s="196"/>
      <c r="R70" s="19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96"/>
      <c r="N71" s="196"/>
      <c r="O71" s="196"/>
      <c r="P71" s="196"/>
      <c r="Q71" s="196"/>
      <c r="R71" s="19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196"/>
      <c r="N72" s="196"/>
      <c r="O72" s="196"/>
      <c r="P72" s="196"/>
      <c r="Q72" s="196"/>
      <c r="R72" s="19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96"/>
      <c r="N73" s="196"/>
      <c r="O73" s="196"/>
      <c r="P73" s="196"/>
      <c r="Q73" s="196"/>
      <c r="R73" s="19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196"/>
      <c r="N74" s="196"/>
      <c r="O74" s="196"/>
      <c r="P74" s="196"/>
      <c r="Q74" s="196"/>
      <c r="R74" s="19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196"/>
      <c r="N75" s="196"/>
      <c r="O75" s="196"/>
      <c r="P75" s="196"/>
      <c r="Q75" s="196"/>
      <c r="R75" s="19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196"/>
      <c r="N76" s="196"/>
      <c r="O76" s="196"/>
      <c r="P76" s="196"/>
      <c r="Q76" s="196"/>
      <c r="R76" s="19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196"/>
      <c r="N77" s="196"/>
      <c r="O77" s="196"/>
      <c r="P77" s="196"/>
      <c r="Q77" s="196"/>
      <c r="R77" s="19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96"/>
      <c r="N78" s="196"/>
      <c r="O78" s="196"/>
      <c r="P78" s="196"/>
      <c r="Q78" s="196"/>
      <c r="R78" s="19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196"/>
      <c r="N79" s="196"/>
      <c r="O79" s="196"/>
      <c r="P79" s="196"/>
      <c r="Q79" s="196"/>
      <c r="R79" s="19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196"/>
      <c r="N80" s="196"/>
      <c r="O80" s="196"/>
      <c r="P80" s="196"/>
      <c r="Q80" s="196"/>
      <c r="R80" s="19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196"/>
      <c r="N81" s="196"/>
      <c r="O81" s="196"/>
      <c r="P81" s="196"/>
      <c r="Q81" s="196"/>
      <c r="R81" s="19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96"/>
      <c r="N82" s="196"/>
      <c r="O82" s="196"/>
      <c r="P82" s="196"/>
      <c r="Q82" s="196"/>
      <c r="R82" s="19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196"/>
      <c r="N83" s="196"/>
      <c r="O83" s="196"/>
      <c r="P83" s="196"/>
      <c r="Q83" s="196"/>
      <c r="R83" s="196"/>
    </row>
    <row r="84" spans="1:18" ht="12.75">
      <c r="A84" s="19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196"/>
      <c r="N84" s="196"/>
      <c r="O84" s="196"/>
      <c r="P84" s="196"/>
      <c r="Q84" s="196"/>
      <c r="R84" s="19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A666"/>
  <sheetViews>
    <sheetView workbookViewId="0" topLeftCell="A1">
      <selection activeCell="F3" sqref="F3"/>
    </sheetView>
  </sheetViews>
  <sheetFormatPr defaultColWidth="9.140625" defaultRowHeight="12.75"/>
  <cols>
    <col min="4" max="4" width="25.7109375" style="0" customWidth="1"/>
    <col min="5" max="5" width="9.57421875" style="0" customWidth="1"/>
    <col min="6" max="6" width="11.57421875" style="0" customWidth="1"/>
    <col min="11" max="11" width="12.8515625" style="0" customWidth="1"/>
  </cols>
  <sheetData>
    <row r="1" spans="1:4" ht="12.75">
      <c r="A1" s="14" t="s">
        <v>1233</v>
      </c>
      <c r="D1" t="s">
        <v>1234</v>
      </c>
    </row>
    <row r="2" spans="1:9" ht="12.75">
      <c r="A2">
        <v>0</v>
      </c>
      <c r="B2">
        <v>0</v>
      </c>
      <c r="H2" t="s">
        <v>1235</v>
      </c>
      <c r="I2">
        <f>MAX(Design!$D$15,Design!D19,Design!D34,Design!D36,Design!D42:D44,Design!D47,Design!D54:D63,Design!D65:D79,Design!D82:D86,Design!D88:D129,Design!D138,Design!D140:D141,Design!D143:D144,Design!D146:D147,Design!D149:D150,Design!D152:D153,Design!D185:D186,Design!D194,Design!D202:D203,Design!D229:D230,Design!D249,Design!D256)</f>
        <v>12</v>
      </c>
    </row>
    <row r="3" spans="1:9" ht="12.75">
      <c r="A3">
        <v>20</v>
      </c>
      <c r="B3">
        <v>1</v>
      </c>
      <c r="D3" t="s">
        <v>1236</v>
      </c>
      <c r="F3" s="293">
        <f>Design!K18+Design!K28</f>
        <v>1400</v>
      </c>
      <c r="H3" t="s">
        <v>1237</v>
      </c>
      <c r="I3">
        <f>MIN(Design!$D$15,Design!D19,Design!D34,Design!D36,Design!D42:D44,Design!D47,Design!D54:D63,Design!D65:D79,Design!D82:D86,Design!D88:D129,Design!D138,Design!D140:D141,Design!D143:D144,Design!D146:D147,Design!D149:D150,Design!D152:D153,Design!D185:D186,Design!D194,Design!D202:D203,Design!D229:D230,Design!D249,Design!D256)</f>
        <v>12</v>
      </c>
    </row>
    <row r="4" spans="1:18" ht="12.75">
      <c r="A4">
        <v>40</v>
      </c>
      <c r="B4">
        <v>2</v>
      </c>
      <c r="D4" t="s">
        <v>1238</v>
      </c>
      <c r="F4" s="293">
        <f>Design!M18+Design!M28</f>
        <v>605.2</v>
      </c>
      <c r="H4" t="s">
        <v>1239</v>
      </c>
      <c r="K4">
        <f>ROUND((($K$6-SUM(Design!L23:L30))/CHOOSE((Design!$D$15+1),1,1,1,1,2,2,3,3,4,4,5,5,5,6,6,6,8,8,8,10,10,10))/IF(OR(IF(Design!E85&gt;1,TRUE(),FALSE()),IF(Design!E86&gt;1,TRUE(),FALSE())),4,1),0)</f>
        <v>16</v>
      </c>
      <c r="O4" t="s">
        <v>1240</v>
      </c>
      <c r="R4">
        <f>((K8*Design!E34)+(K16*Design!E37)+(K18*Design!E40)+(K20*Design!E42*CHOOSE((Design!D42+1),0,0,0,0,0,0,0,0,0,0.08,0.12,0.12,0.16,0.16,0.16,0.16,0.16,0.16,0.16,0.16,0.16,0.16)))</f>
        <v>16240</v>
      </c>
    </row>
    <row r="5" spans="1:18" ht="12.75">
      <c r="A5">
        <v>80</v>
      </c>
      <c r="B5">
        <v>3</v>
      </c>
      <c r="D5" t="s">
        <v>1241</v>
      </c>
      <c r="F5">
        <f>ROUND(((Design!K18*6)/PI())^(1/3),2)</f>
        <v>13.88</v>
      </c>
      <c r="H5" t="s">
        <v>1242</v>
      </c>
      <c r="K5" s="293">
        <f>ROUND(Design!$L$259,2)</f>
        <v>453.98</v>
      </c>
      <c r="O5" t="s">
        <v>1243</v>
      </c>
      <c r="R5">
        <f>((R4/K5)*CHOOSE((Design!F21+1),0,CHOOSE((Design!F22+1),1.2,1.3,1.4,1.5,IF(Design!D15&lt;8,4.1,4.5)),CHOOSE((Design!F22+1),0.85,0.9,0.95,1,IF(Design!D15&lt;8,2.75,3))))/10</f>
        <v>0</v>
      </c>
    </row>
    <row r="6" spans="1:18" ht="12.75">
      <c r="A6">
        <v>120</v>
      </c>
      <c r="B6">
        <v>4</v>
      </c>
      <c r="D6" t="s">
        <v>1244</v>
      </c>
      <c r="F6">
        <f>ROUND(PI()*(F5^2),1)</f>
        <v>605.2</v>
      </c>
      <c r="H6" t="s">
        <v>1245</v>
      </c>
      <c r="K6" s="293">
        <f>ROUND(K5-(Design!L38+Design!L45+Design!L139+Design!L142+Design!L145+Design!L148+Design!L151+Design!L191+Design!L199+Design!L196+Design!L200),2)</f>
        <v>444.18</v>
      </c>
      <c r="L6" t="s">
        <v>1246</v>
      </c>
      <c r="M6" t="s">
        <v>1247</v>
      </c>
      <c r="O6" t="s">
        <v>1248</v>
      </c>
      <c r="R6">
        <f>((R4/$K$6)*CHOOSE((Design!F21+1),0,CHOOSE((Design!F22+1),1.2,1.3,1.4,1.5,IF(Design!D15&lt;8,4.1,4.5)),CHOOSE((Design!F22+1),0.85,0.9,0.95,1,IF(Design!D15&lt;8,2.75,3))))/10</f>
        <v>0</v>
      </c>
    </row>
    <row r="7" spans="1:18" ht="12.75">
      <c r="A7">
        <v>160</v>
      </c>
      <c r="B7">
        <v>5</v>
      </c>
      <c r="D7" t="s">
        <v>1249</v>
      </c>
      <c r="F7">
        <f>MAX(ROUND(SQRT(Design!K18^3)/225000,3),0.001)</f>
        <v>0.233</v>
      </c>
      <c r="H7" t="s">
        <v>1250</v>
      </c>
      <c r="K7">
        <f>IF(Design!E34=0,"",CHOOSE((Design!G34+1),"Solid","Hybrid","Liquid","HD Liquid","Hy Liquid","LH Liquid","NTR","Adv NTR","GCNTR","Fusion","Ion","NPulse","Ramscoop","AND"))</f>
      </c>
      <c r="O7" t="s">
        <v>1251</v>
      </c>
      <c r="R7">
        <f>MIN(ROUND(IF(R5&lt;0.5,R5*700,IF(R5&lt;10,350+((R5-0.5)*350),IF(R5&lt;20,3485+((R5-10)*120),4685+((R5-20)*60)))),0),CHOOSE((Design!F22+1),320,800,1100,2800,5000,100000000))</f>
        <v>0</v>
      </c>
    </row>
    <row r="8" spans="1:18" ht="12.75">
      <c r="A8">
        <v>200</v>
      </c>
      <c r="B8">
        <v>6</v>
      </c>
      <c r="D8" t="s">
        <v>1252</v>
      </c>
      <c r="F8">
        <f>CHOOSE((Design!F19+1),0,0,1,3,4,5,6,6,6,7,7,7,8,9,10,12,12,14,15,16,17,18)</f>
        <v>12</v>
      </c>
      <c r="H8" t="s">
        <v>1253</v>
      </c>
      <c r="K8">
        <f>MAX(Design!F34*$F$3*10,CHOOSE((Design!G34+1),0,0,0,0,0,0,0,0,0,IF(Design!D34&lt;9,15000,100),0,0,0,0,0))</f>
        <v>0</v>
      </c>
      <c r="L8">
        <f>ROUND((((K8*Design!E34)/Design!$L$259)/10),1)</f>
        <v>0</v>
      </c>
      <c r="M8">
        <f>ROUND((K8*Design!E34)/$K$6/10,1)</f>
        <v>0</v>
      </c>
      <c r="O8" t="s">
        <v>1254</v>
      </c>
      <c r="R8">
        <f>MIN(ROUND(IF(R6&lt;0.5,R6*700,IF(R6&lt;10,350+((R6-0.5)*350),IF(R6&lt;20,3485+((R6-10)*120),4685+((R6-20)*60)))),0),CHOOSE((Design!F22+1),320,800,1100,2800,5000,100000000))</f>
        <v>0</v>
      </c>
    </row>
    <row r="9" spans="1:18" ht="12.75">
      <c r="A9">
        <v>250</v>
      </c>
      <c r="B9">
        <v>7</v>
      </c>
      <c r="D9" t="s">
        <v>1255</v>
      </c>
      <c r="F9">
        <f>CHOOSE((Design!F19+1),0.06,0.14,0.28,2.14,2.43,2.86,2.43,0.36,4.29,5.71,1.43,0.36,8.57,7.14,11.4,20,12.9,40,47.1,28.6,57.1,68.6)</f>
        <v>20</v>
      </c>
      <c r="H9" t="s">
        <v>1256</v>
      </c>
      <c r="K9">
        <f>VLOOKUP(Design!G34,$D$71:$Z$84,(Design!D34+1+1))</f>
        <v>2940</v>
      </c>
      <c r="O9" t="s">
        <v>1257</v>
      </c>
      <c r="R9">
        <f>ROUND(R7*0.75,0)</f>
        <v>0</v>
      </c>
    </row>
    <row r="10" spans="1:18" ht="12.75">
      <c r="A10">
        <v>300</v>
      </c>
      <c r="B10">
        <v>8</v>
      </c>
      <c r="D10" t="s">
        <v>1258</v>
      </c>
      <c r="F10">
        <f>CHOOSE((Design!F19+1),1.2,0.4,0.8,8,8,8,6,1,8,7,3.2,0.4,8,6,10,15,11,15,15,13,15,15)</f>
        <v>15</v>
      </c>
      <c r="H10" t="s">
        <v>1259</v>
      </c>
      <c r="K10">
        <f>VLOOKUP(Design!G34,$D$87:$Z$100,(Design!D34+1+1))</f>
        <v>0</v>
      </c>
      <c r="O10" t="s">
        <v>1260</v>
      </c>
      <c r="R10">
        <f>ROUND(R8*0.75,0)</f>
        <v>0</v>
      </c>
    </row>
    <row r="11" spans="1:11" ht="12.75">
      <c r="A11">
        <v>400</v>
      </c>
      <c r="B11">
        <v>9</v>
      </c>
      <c r="D11" t="s">
        <v>1261</v>
      </c>
      <c r="F11">
        <f>CHOOSE((Design!F19+1),0.001,0.0003,0.0004,0.0016,0.0016,0.002,0.004,0.001,0.01,0.007,0.0024,0.0024,0.008,0.009,0.009,0.014,0.008,0.028,0.031,0.022,0.035,0.052)</f>
        <v>0.014</v>
      </c>
      <c r="H11" t="s">
        <v>1262</v>
      </c>
      <c r="K11">
        <f>VLOOKUP(Design!G34,$D$103:$Z$116,(Design!D34+1+1))</f>
        <v>0.04</v>
      </c>
    </row>
    <row r="12" spans="1:13" ht="12.75">
      <c r="A12">
        <v>500</v>
      </c>
      <c r="B12">
        <v>10</v>
      </c>
      <c r="D12" t="s">
        <v>1263</v>
      </c>
      <c r="F12">
        <f>CHOOSE((Design!F19+1),0,0,0,0,0,0,0,0,0,0,0,0,0,0,0,0,0,1,1,0,1,1)</f>
        <v>0</v>
      </c>
      <c r="H12" t="s">
        <v>1264</v>
      </c>
      <c r="K12">
        <f>MAX(Design!F36*$F$3*10,CHOOSE((Design!G36+1),0,0,0,0,0,0,0,0,0,IF(Design!D36&lt;9,15000,100),0,0,0,0))</f>
        <v>0</v>
      </c>
      <c r="L12">
        <f>ROUND((((K12*Design!E36)/Design!$L$259)/10),1)</f>
        <v>0</v>
      </c>
      <c r="M12">
        <f>ROUND((K12*Design!E36)/$K$6/10,1)</f>
        <v>0</v>
      </c>
    </row>
    <row r="13" spans="1:11" ht="12.75">
      <c r="A13">
        <v>750</v>
      </c>
      <c r="B13">
        <v>11</v>
      </c>
      <c r="D13" t="s">
        <v>1265</v>
      </c>
      <c r="F13">
        <f>CHOOSE((Design!F20+1),1,1.15,1.2,1.32,1.15,1.28,1.4,1.24,1.3,1.45,1.81,1.86,1.28,1.28,1.43,1.8,2.13,1.56,1.21,1.1,1.52,2,1.4)</f>
        <v>1</v>
      </c>
      <c r="H13" t="s">
        <v>1266</v>
      </c>
      <c r="K13">
        <f>VLOOKUP(Design!G36,$D$71:$Z$84,(Design!D36+1+1))</f>
        <v>2940</v>
      </c>
    </row>
    <row r="14" spans="1:11" ht="12.75">
      <c r="A14">
        <v>1000</v>
      </c>
      <c r="B14">
        <v>12</v>
      </c>
      <c r="D14" t="s">
        <v>1267</v>
      </c>
      <c r="F14">
        <f>CHOOSE((Design!F20+1),1,0.6,0.6,0.6,0.7,0.7,0.7,0.4,0.4,0.4,0.4,0.4,0.8,0.8,0.8,0.8,1.4,1.4,1.4,1.4,0.5,0.3,0.3)</f>
        <v>1</v>
      </c>
      <c r="H14" t="s">
        <v>1268</v>
      </c>
      <c r="K14">
        <f>VLOOKUP(Design!G36,$D$87:$Z$100,(Design!D36+1+1))</f>
        <v>0</v>
      </c>
    </row>
    <row r="15" spans="1:11" ht="12.75">
      <c r="A15">
        <v>1250</v>
      </c>
      <c r="B15">
        <v>13</v>
      </c>
      <c r="D15" t="s">
        <v>1269</v>
      </c>
      <c r="F15">
        <f>CHOOSE((Design!F20+1),1,0.8,0.8,0.8,0.8,0.8,0.8,0.6,0.6,0.6,0.6,0.6,0.9,0.9,0.9,0.9,1.6,1.6,1.6,1.6,0.7,0,0)</f>
        <v>1</v>
      </c>
      <c r="H15" t="s">
        <v>1270</v>
      </c>
      <c r="K15">
        <f>VLOOKUP(Design!G36,$D$103:$Z$116,(Design!D36+1+1))</f>
        <v>0.04</v>
      </c>
    </row>
    <row r="16" spans="1:13" ht="12.75">
      <c r="A16">
        <v>1500</v>
      </c>
      <c r="B16">
        <v>14</v>
      </c>
      <c r="D16" t="s">
        <v>1271</v>
      </c>
      <c r="F16">
        <f>CHOOSE((Design!F20+1),1,0,0,0,1.2,1.2,1.2,0,0,0,0,0,1.1,1.1,1.1,1.1,1.2,1.2,1.2,1.2,1.5,0,0)</f>
        <v>1</v>
      </c>
      <c r="H16" t="s">
        <v>1272</v>
      </c>
      <c r="K16">
        <f>MAX($F$3*Design!F37*10,200)</f>
        <v>200</v>
      </c>
      <c r="L16">
        <f>ROUND((((K16*Design!E37)/Design!$L$259)/10),1)</f>
        <v>0</v>
      </c>
      <c r="M16">
        <f>ROUND((K16*Design!E37)/$K$6/10,1)</f>
        <v>0</v>
      </c>
    </row>
    <row r="17" spans="1:13" ht="12.75">
      <c r="A17">
        <v>1750</v>
      </c>
      <c r="B17">
        <v>15</v>
      </c>
      <c r="D17" t="s">
        <v>1273</v>
      </c>
      <c r="F17">
        <f>CHOOSE((Design!F20+1),1,0.87,1.39,2,1.43,2.05,2.58,0.81,1.28,1.61,2.76,2.2,1.26,2,3.18,5.85,1.88,1.49,1.1,0.61,2.52,4,1.75)</f>
        <v>1</v>
      </c>
      <c r="H17" t="s">
        <v>1274</v>
      </c>
      <c r="K17">
        <f>MAX(200,$F$3*Design!F39*10)</f>
        <v>200</v>
      </c>
      <c r="L17">
        <f>ROUND((((K17*Design!E39)/Design!$L$259)/10),1)</f>
        <v>0</v>
      </c>
      <c r="M17">
        <f>ROUND((K17*Design!E39)/$K$6/10,1)</f>
        <v>0</v>
      </c>
    </row>
    <row r="18" spans="1:13" ht="12.75">
      <c r="A18">
        <v>2000</v>
      </c>
      <c r="B18">
        <v>16</v>
      </c>
      <c r="D18" t="s">
        <v>1275</v>
      </c>
      <c r="F18">
        <f>CHOOSE((Design!F20+1),1,0.87,0.69,0.57,0.71,0.59,0.52,0.81,0.64,0.81,0.69,0.98,1.26,1,0.79,0.59,1.88,1.49,1.1,1.21,1.73,0.5,1.3)</f>
        <v>1</v>
      </c>
      <c r="H18" t="s">
        <v>1276</v>
      </c>
      <c r="K18">
        <f>MAX($F$3*Design!F40*10,4000)</f>
        <v>14000</v>
      </c>
      <c r="L18">
        <f>ROUND((((K18*Design!E40)/Design!$L$259)/10),1)</f>
        <v>3.1</v>
      </c>
      <c r="M18">
        <f>ROUND((K18*Design!E40)/$K$6/10,1)</f>
        <v>3.2</v>
      </c>
    </row>
    <row r="19" spans="1:13" ht="12.75">
      <c r="A19">
        <v>2500</v>
      </c>
      <c r="B19">
        <v>17</v>
      </c>
      <c r="D19" t="s">
        <v>1277</v>
      </c>
      <c r="F19">
        <f>CHOOSE((Design!F20+1),1,0.87,0.69,0.57,0.71,0.59,0.52,0.81,0.64,0.4,0.28,0.24,1.26,1,0.79,0.59,0.19,0.3,0.55,1.21,0.72,0.5,0.3)</f>
        <v>1</v>
      </c>
      <c r="H19" t="s">
        <v>1278</v>
      </c>
      <c r="K19">
        <f>MAX($F$3*Design!F41*10,4000)</f>
        <v>4000</v>
      </c>
      <c r="L19">
        <f>ROUND((((K19*Design!E41)/Design!$L$259)/10),1)</f>
        <v>0</v>
      </c>
      <c r="M19">
        <f>ROUND((K19*Design!E41)/$K$6/10,1)</f>
        <v>0</v>
      </c>
    </row>
    <row r="20" spans="1:13" ht="12.75">
      <c r="A20">
        <v>3000</v>
      </c>
      <c r="B20">
        <v>18</v>
      </c>
      <c r="D20" t="s">
        <v>1279</v>
      </c>
      <c r="F20">
        <f>IF(Design!F21=0,0,IF(Design!F21=1,CHOOSE((Design!F22+1),0.01,0.02,0.05,0.1,0.15),CHOOSE((Design!F22+1),0.01,0.05,0.1,0.2,0.3,0.3)))</f>
        <v>0</v>
      </c>
      <c r="H20" t="s">
        <v>1280</v>
      </c>
      <c r="K20">
        <f>$F$3*Design!F42*10</f>
        <v>14000</v>
      </c>
      <c r="L20">
        <f>ROUND((((K20*Design!E42)/Design!$L$259)/10),1)</f>
        <v>3.1</v>
      </c>
      <c r="M20">
        <f>ROUND((K20*Design!E42)/$K$6/10,1)</f>
        <v>3.2</v>
      </c>
    </row>
    <row r="21" spans="1:13" ht="12.75">
      <c r="A21">
        <v>3500</v>
      </c>
      <c r="B21">
        <v>19</v>
      </c>
      <c r="D21" t="s">
        <v>1281</v>
      </c>
      <c r="F21">
        <f>IF(Design!F21=0,0,IF(Design!F21=1,CHOOSE((Design!F22+1),0.2,0.2,0.25,0.3,0.35,0.35),CHOOSE((Design!F22+1),0.3,0.3,0.35,0.4,0.45,0.45)))</f>
        <v>0</v>
      </c>
      <c r="H21" t="s">
        <v>1282</v>
      </c>
      <c r="K21">
        <f>$F$3*Design!F43*10</f>
        <v>0</v>
      </c>
      <c r="L21">
        <f>ROUND((((K21*Design!E43)/Design!$L$259)/10),1)</f>
        <v>0</v>
      </c>
      <c r="M21">
        <f>ROUND((K21*Design!E43)/$K$6/10,1)</f>
        <v>0</v>
      </c>
    </row>
    <row r="22" spans="1:11" ht="12.75">
      <c r="A22">
        <v>4000</v>
      </c>
      <c r="B22">
        <v>20</v>
      </c>
      <c r="D22" t="s">
        <v>1283</v>
      </c>
      <c r="F22">
        <f>IF(Design!F21=0,1,IF(Design!F21=1,CHOOSE((Design!F22+1),0.7,0.75,0.9,1,1.2,1.2),CHOOSE((Design!F22+1),0.7,0.75,0.9,1,1.2,1.2)))</f>
        <v>1</v>
      </c>
      <c r="H22" t="s">
        <v>1284</v>
      </c>
      <c r="K22">
        <f>Design!K38+Design!K45+Design!K142+(Design!E200*Design!F200*14)+Design!F199</f>
        <v>140</v>
      </c>
    </row>
    <row r="23" spans="1:11" ht="12.75">
      <c r="A23">
        <v>4500</v>
      </c>
      <c r="B23">
        <v>21</v>
      </c>
      <c r="D23" t="s">
        <v>1285</v>
      </c>
      <c r="F23">
        <f>(Design!F23/F9)/100</f>
        <v>0.014499999999999999</v>
      </c>
      <c r="H23" t="s">
        <v>1286</v>
      </c>
      <c r="K23">
        <f>CHOOSE((Design!D202+1),#VALUE!,#VALUE!,#VALUE!,#VALUE!,#VALUE!,#VALUE!,#VALUE!,#VALUE!,0.7,0.6,0.55,0.45,0.4,0.35,0.25,0.2,0.15,0.1,0.05,0.05,0.05,0.05)*K22</f>
        <v>56</v>
      </c>
    </row>
    <row r="24" spans="1:11" ht="12.75">
      <c r="A24">
        <v>5000</v>
      </c>
      <c r="B24">
        <v>22</v>
      </c>
      <c r="D24" t="s">
        <v>1287</v>
      </c>
      <c r="F24">
        <f>CHOOSE((Design!F24+1),1,1.1,1.2,1.3)</f>
        <v>1</v>
      </c>
      <c r="H24" t="s">
        <v>1288</v>
      </c>
      <c r="K24">
        <f>CHOOSE((Design!D203+1),#VALUE!,#VALUE!,#VALUE!,#VALUE!,#VALUE!,#VALUE!,#VALUE!,#VALUE!,0.7,0.6,0.55,0.45,0.4,0.35,0.25,0.2,0.15,0.1,0.05,0.05,0.05,0.05)*K22</f>
        <v>56</v>
      </c>
    </row>
    <row r="25" spans="1:11" ht="12.75">
      <c r="A25">
        <v>6000</v>
      </c>
      <c r="B25">
        <v>23</v>
      </c>
      <c r="D25" t="s">
        <v>1289</v>
      </c>
      <c r="F25">
        <f>CHOOSE((Design!F24+1),1,1.25,1.56,1.95)</f>
        <v>1</v>
      </c>
      <c r="H25" t="s">
        <v>1290</v>
      </c>
      <c r="K25">
        <f>CHOOSE((Design!D202+1),#VALUE!,#VALUE!,#VALUE!,#VALUE!,#VALUE!,#VALUE!,#VALUE!,#VALUE!,135,120,105,95,80,65,55,40,25,15,5,5,5,5)*Design!E202</f>
        <v>0</v>
      </c>
    </row>
    <row r="26" spans="1:11" ht="12.75">
      <c r="A26">
        <v>7000</v>
      </c>
      <c r="B26">
        <v>24</v>
      </c>
      <c r="D26" t="s">
        <v>1291</v>
      </c>
      <c r="F26">
        <f>F$5*CHOOSE((Design!F$20+1),1,0.87,1.39,2,1.43,2.05,2.58,0.81,1.28,1.61,2.76,2.2,1.26,2,3.18,5.85,1.88,1.49,1.1,0.61,2.52,4,1.75)</f>
        <v>13.88</v>
      </c>
      <c r="H26" t="s">
        <v>1292</v>
      </c>
      <c r="K26">
        <f>CHOOSE((Design!D203+1),#VALUE!,#VALUE!,#VALUE!,#VALUE!,#VALUE!,#VALUE!,#VALUE!,#VALUE!,135,120,105,95,80,65,55,40,25,15,5,5,5,5)*Design!E203</f>
        <v>0</v>
      </c>
    </row>
    <row r="27" spans="1:11" ht="12.75">
      <c r="A27">
        <v>8000</v>
      </c>
      <c r="B27">
        <v>25</v>
      </c>
      <c r="D27" t="s">
        <v>1293</v>
      </c>
      <c r="F27">
        <f>F$5*CHOOSE((Design!F$20+1),1,0.87,0.69,0.57,0.71,0.59,0.52,0.81,0.64,0.81,0.69,0.98,1.26,1,0.79,0.59,1.88,1.49,1.1,1.21,1.73,0.5,1.3)</f>
        <v>13.88</v>
      </c>
      <c r="H27" t="s">
        <v>1294</v>
      </c>
      <c r="K27">
        <f>IF(Design!E202=0,0,MAX(6/Design!F202*K23,K25))</f>
        <v>0</v>
      </c>
    </row>
    <row r="28" spans="1:11" ht="12.75">
      <c r="A28">
        <v>9000</v>
      </c>
      <c r="B28">
        <v>26</v>
      </c>
      <c r="D28" t="s">
        <v>1295</v>
      </c>
      <c r="F28">
        <f>F$5*CHOOSE((Design!F$20+1),1,0.87,0.69,0.57,0.71,0.59,0.52,0.81,0.64,0.4,0.28,0.24,1.26,1,0.79,0.59,0.19,0.3,0.55,1.21,0.72,0.5,0.3)</f>
        <v>13.88</v>
      </c>
      <c r="H28" t="s">
        <v>1296</v>
      </c>
      <c r="K28">
        <f>IF(Design!E203=0,0,MAX(6/Design!F203*K24,K26))</f>
        <v>0</v>
      </c>
    </row>
    <row r="29" spans="1:11" ht="12.75">
      <c r="A29">
        <v>10000</v>
      </c>
      <c r="B29">
        <v>27</v>
      </c>
      <c r="D29" t="s">
        <v>1297</v>
      </c>
      <c r="F29">
        <f>IF(Vol&gt;=1000,1000*F20,Vol*F20)</f>
        <v>0</v>
      </c>
      <c r="H29" t="s">
        <v>1298</v>
      </c>
      <c r="K29">
        <f>IF(Design!E202=0,0,6/(K27/K23))</f>
        <v>0</v>
      </c>
    </row>
    <row r="30" spans="1:11" ht="12.75">
      <c r="A30">
        <v>11000</v>
      </c>
      <c r="B30">
        <v>28</v>
      </c>
      <c r="D30" t="s">
        <v>1299</v>
      </c>
      <c r="F30">
        <f>ROUND(((Design!K28*6)/PI())^(1/3),2)</f>
        <v>0</v>
      </c>
      <c r="H30" t="s">
        <v>1300</v>
      </c>
      <c r="K30">
        <f>IF(Design!E203=0,0,6/(K28/K24))</f>
        <v>0</v>
      </c>
    </row>
    <row r="31" spans="1:11" ht="12.75">
      <c r="A31">
        <v>13000</v>
      </c>
      <c r="B31">
        <v>29</v>
      </c>
      <c r="D31" t="s">
        <v>1301</v>
      </c>
      <c r="F31">
        <f>ROUND(PI()*(F30^2),1)</f>
        <v>0</v>
      </c>
      <c r="H31" t="s">
        <v>1302</v>
      </c>
      <c r="K31">
        <f>K27/CHOOSE((Design!D202+1),#VALUE!,#VALUE!,#VALUE!,#VALUE!,#VALUE!,#VALUE!,#VALUE!,#VALUE!,0.7,0.6,0.55,0.45,0.4,0.35,0.25,0.2,0.15,0.1,0.05,0.05,0.05,0.05)</f>
        <v>0</v>
      </c>
    </row>
    <row r="32" spans="1:11" ht="12.75">
      <c r="A32">
        <v>15000</v>
      </c>
      <c r="B32">
        <v>30</v>
      </c>
      <c r="D32" t="s">
        <v>1303</v>
      </c>
      <c r="F32">
        <f>MAX(ROUND(SQRT(Design!K28^3)/225000,3),0.001)</f>
        <v>0.001</v>
      </c>
      <c r="H32" t="s">
        <v>1304</v>
      </c>
      <c r="K32">
        <f>K28/CHOOSE((Design!D203+1),#VALUE!,#VALUE!,#VALUE!,#VALUE!,#VALUE!,#VALUE!,#VALUE!,#VALUE!,0.7,0.6,0.55,0.45,0.4,0.35,0.25,0.2,0.15,0.1,0.05,0.05,0.05,0.05)</f>
        <v>0</v>
      </c>
    </row>
    <row r="33" spans="1:11" ht="12.75">
      <c r="A33">
        <v>17000</v>
      </c>
      <c r="B33">
        <v>31</v>
      </c>
      <c r="D33" t="s">
        <v>1305</v>
      </c>
      <c r="F33">
        <f>CHOOSE((Design!F29+1),0.29,1.71,0.71)</f>
        <v>1.71</v>
      </c>
      <c r="H33" t="s">
        <v>1306</v>
      </c>
      <c r="K33">
        <f>CHOOSE((Design!D202+1),#VALUE!,#VALUE!,#VALUE!,#VALUE!,#VALUE!,#VALUE!,#VALUE!,#VALUE!,1.5,1.2,1.1,0.9,0.8,0.7,0.5,0.4,0.3,0.2,0.1,0.1,0.1,0.1)*K31</f>
        <v>0</v>
      </c>
    </row>
    <row r="34" spans="1:11" ht="12.75">
      <c r="A34">
        <v>19000</v>
      </c>
      <c r="B34">
        <v>32</v>
      </c>
      <c r="D34" t="s">
        <v>1307</v>
      </c>
      <c r="F34">
        <f>CHOOSE((Design!F29+1),1.1,8,5.5)</f>
        <v>8</v>
      </c>
      <c r="H34" t="s">
        <v>1308</v>
      </c>
      <c r="K34">
        <f>CHOOSE((Design!D203+1),#VALUE!,#VALUE!,#VALUE!,#VALUE!,#VALUE!,#VALUE!,#VALUE!,#VALUE!,1.5,1.2,1.1,0.9,0.8,0.7,0.5,0.4,0.3,0.2,0.1,0.1,0.1,0.1)*K32</f>
        <v>0</v>
      </c>
    </row>
    <row r="35" spans="1:11" ht="12.75">
      <c r="A35">
        <v>21000</v>
      </c>
      <c r="B35">
        <v>33</v>
      </c>
      <c r="D35" t="s">
        <v>1309</v>
      </c>
      <c r="F35">
        <f>CHOOSE((Design!F29+1),0.00005,0.0001,0.000075)</f>
        <v>0.0001</v>
      </c>
      <c r="H35" t="s">
        <v>1310</v>
      </c>
      <c r="K35">
        <f>CHOOSE((Design!D202+1),#VALUE!,#VALUE!,#VALUE!,#VALUE!,#VALUE!,#VALUE!,#VALUE!,#VALUE!,0.01,0.009,0.008,0.007,0.006,0.005,0.005,0.005,0.005,0.005,0.005,0.005,0.005,0.005)*K31</f>
        <v>0</v>
      </c>
    </row>
    <row r="36" spans="1:11" ht="12.75">
      <c r="A36">
        <v>23000</v>
      </c>
      <c r="B36">
        <v>34</v>
      </c>
      <c r="D36" t="s">
        <v>1311</v>
      </c>
      <c r="F36">
        <f>Design!F30/(F33*100)</f>
        <v>0.1695906432748538</v>
      </c>
      <c r="H36" t="s">
        <v>1312</v>
      </c>
      <c r="K36">
        <f>CHOOSE((Design!D203+1),#VALUE!,#VALUE!,#VALUE!,#VALUE!,#VALUE!,#VALUE!,#VALUE!,#VALUE!,0.01,0.009,0.008,0.007,0.006,0.005,0.005,0.005,0.005,0.005,0.005,0.005,0.005,0.005)*K32</f>
        <v>0</v>
      </c>
    </row>
    <row r="37" spans="1:11" ht="12.75">
      <c r="A37">
        <v>27000</v>
      </c>
      <c r="B37">
        <v>35</v>
      </c>
      <c r="D37" t="s">
        <v>1313</v>
      </c>
      <c r="F37">
        <f>F36*3*F31</f>
        <v>0</v>
      </c>
      <c r="H37" t="s">
        <v>1314</v>
      </c>
      <c r="K37">
        <f>CHOOSE((Design!D202+1),#VALUE!,#VALUE!,#VALUE!,#VALUE!,#VALUE!,#VALUE!,#VALUE!,#VALUE!,0.0002,0.00019,0.00018,0.00017,0.00016,0.00015,0.00014,0.00015,0.00016,0.00017,0.00018,0.00019,0.0002,0.00021)*K31</f>
        <v>0</v>
      </c>
    </row>
    <row r="38" spans="1:11" ht="12.75">
      <c r="A38">
        <v>31000</v>
      </c>
      <c r="B38">
        <v>36</v>
      </c>
      <c r="D38" t="s">
        <v>1315</v>
      </c>
      <c r="F38">
        <f>(F37*F33)/(3*F32)</f>
        <v>0</v>
      </c>
      <c r="H38" t="s">
        <v>1316</v>
      </c>
      <c r="K38">
        <f>CHOOSE((Design!D203+1),#VALUE!,#VALUE!,#VALUE!,#VALUE!,#VALUE!,#VALUE!,#VALUE!,#VALUE!,0.0002,0.00019,0.00018,0.00017,0.00016,0.00015,0.00014,0.00015,0.00016,0.00017,0.00018,0.00019,0.0002,0.00021)*K32</f>
        <v>0</v>
      </c>
    </row>
    <row r="39" spans="1:6" ht="12.75">
      <c r="A39">
        <v>35000</v>
      </c>
      <c r="B39">
        <v>37</v>
      </c>
      <c r="D39" t="s">
        <v>1317</v>
      </c>
      <c r="F39">
        <f>MAX(F26,F27,F28,F30)</f>
        <v>13.88</v>
      </c>
    </row>
    <row r="40" spans="1:2" ht="12.75">
      <c r="A40">
        <v>39000</v>
      </c>
      <c r="B40">
        <v>38</v>
      </c>
    </row>
    <row r="41" spans="1:6" ht="12.75">
      <c r="A41">
        <v>43000</v>
      </c>
      <c r="B41">
        <v>39</v>
      </c>
      <c r="D41" t="s">
        <v>1318</v>
      </c>
      <c r="F41" s="293">
        <f>SUM(Design!K34:K47)-Design!K35-Design!K38-Design!K45</f>
        <v>91</v>
      </c>
    </row>
    <row r="42" spans="1:7" ht="12.75">
      <c r="A42">
        <v>47000</v>
      </c>
      <c r="B42">
        <v>40</v>
      </c>
      <c r="D42" t="s">
        <v>1319</v>
      </c>
      <c r="F42">
        <f>ROUND(((6*F41/PI())^(1/3))^2*PI(),2)*1.3</f>
        <v>127.19200000000001</v>
      </c>
      <c r="G42">
        <f>(Design!F48/$F$9)/100</f>
        <v>0</v>
      </c>
    </row>
    <row r="43" spans="1:6" ht="12.75">
      <c r="A43">
        <v>55000</v>
      </c>
      <c r="B43">
        <v>41</v>
      </c>
      <c r="D43" t="s">
        <v>1320</v>
      </c>
      <c r="F43" s="293">
        <f>SUM(Design!K65:K79)</f>
        <v>0</v>
      </c>
    </row>
    <row r="44" spans="1:7" ht="12.75">
      <c r="A44">
        <v>63000</v>
      </c>
      <c r="B44">
        <v>42</v>
      </c>
      <c r="D44" t="s">
        <v>1321</v>
      </c>
      <c r="F44">
        <f>ROUND(((6*F43/PI())^(1/3))^2*PI(),2)*1.3</f>
        <v>0</v>
      </c>
      <c r="G44">
        <f>(Design!F80/$F$9)/100</f>
        <v>0</v>
      </c>
    </row>
    <row r="45" spans="1:6" ht="12.75">
      <c r="A45">
        <v>71000</v>
      </c>
      <c r="B45">
        <v>43</v>
      </c>
      <c r="D45" t="s">
        <v>1322</v>
      </c>
      <c r="F45" s="293">
        <f>SUM(Design!K82:K91)+SUM(Design!K229:K230)</f>
        <v>29.417</v>
      </c>
    </row>
    <row r="46" spans="1:7" ht="12.75">
      <c r="A46">
        <v>79000</v>
      </c>
      <c r="B46">
        <v>44</v>
      </c>
      <c r="D46" t="s">
        <v>1323</v>
      </c>
      <c r="F46">
        <f>ROUND(((6*F45/PI())^(1/3))^2*PI(),2)*1.3</f>
        <v>59.903999999999996</v>
      </c>
      <c r="G46">
        <f>(Design!F92/$F$9)/100</f>
        <v>0</v>
      </c>
    </row>
    <row r="47" spans="1:6" ht="12.75">
      <c r="A47">
        <v>87000</v>
      </c>
      <c r="B47">
        <v>45</v>
      </c>
      <c r="D47" t="s">
        <v>1324</v>
      </c>
      <c r="F47" s="293">
        <f>SUM(Design!K94:K101)</f>
        <v>0.1296</v>
      </c>
    </row>
    <row r="48" spans="1:7" ht="12.75">
      <c r="A48">
        <v>95000</v>
      </c>
      <c r="B48">
        <v>46</v>
      </c>
      <c r="D48" t="s">
        <v>1325</v>
      </c>
      <c r="F48">
        <f>ROUND(((6*F47/PI())^(1/3))^2*PI(),2)*1.3</f>
        <v>1.612</v>
      </c>
      <c r="G48">
        <f>(Design!F102/$F$9)/100</f>
        <v>0</v>
      </c>
    </row>
    <row r="49" spans="1:6" ht="12.75">
      <c r="A49">
        <v>111000</v>
      </c>
      <c r="B49">
        <v>47</v>
      </c>
      <c r="D49" t="s">
        <v>1326</v>
      </c>
      <c r="F49" s="293">
        <f>SUM(Design!K104:K119)</f>
        <v>0.25</v>
      </c>
    </row>
    <row r="50" spans="1:7" ht="12.75">
      <c r="A50">
        <v>127000</v>
      </c>
      <c r="B50">
        <v>48</v>
      </c>
      <c r="D50" t="s">
        <v>1327</v>
      </c>
      <c r="F50">
        <f>ROUND(((6*F49/PI())^(1/3))^2*PI(),2)*1.3</f>
        <v>2.496</v>
      </c>
      <c r="G50">
        <f>(Design!F120/$F$9)/100</f>
        <v>0</v>
      </c>
    </row>
    <row r="51" spans="1:6" ht="12.75">
      <c r="A51">
        <v>143000</v>
      </c>
      <c r="B51">
        <v>49</v>
      </c>
      <c r="D51" t="s">
        <v>1328</v>
      </c>
      <c r="F51" s="293">
        <f>SUM(Design!K122:K135)</f>
        <v>0</v>
      </c>
    </row>
    <row r="52" spans="1:7" ht="12.75">
      <c r="A52">
        <v>159000</v>
      </c>
      <c r="B52">
        <v>50</v>
      </c>
      <c r="D52" t="s">
        <v>1329</v>
      </c>
      <c r="F52">
        <f>ROUND(((6*F51/PI())^(1/3))^2*PI(),2)*1.3</f>
        <v>0</v>
      </c>
      <c r="G52">
        <f>(Design!F136/$F$9)/100</f>
        <v>0</v>
      </c>
    </row>
    <row r="53" spans="1:6" ht="12.75">
      <c r="A53">
        <v>175000</v>
      </c>
      <c r="B53">
        <v>51</v>
      </c>
      <c r="D53" t="s">
        <v>1330</v>
      </c>
      <c r="F53" s="293">
        <f>SUM(Design!K138:K153)-Design!K139-Design!K142-Design!K145-Design!K148-Design!K151</f>
        <v>30</v>
      </c>
    </row>
    <row r="54" spans="1:7" ht="12.75">
      <c r="A54">
        <v>191000</v>
      </c>
      <c r="B54">
        <v>52</v>
      </c>
      <c r="D54" t="s">
        <v>1331</v>
      </c>
      <c r="F54">
        <f>ROUND(((6*F53/PI())^(1/3))^2*PI(),2)*1.3</f>
        <v>60.696999999999996</v>
      </c>
      <c r="G54">
        <f>(Design!F157/$F$9)/100</f>
        <v>0</v>
      </c>
    </row>
    <row r="55" spans="1:6" ht="12.75">
      <c r="A55">
        <v>223000</v>
      </c>
      <c r="B55">
        <v>53</v>
      </c>
      <c r="D55" t="s">
        <v>1332</v>
      </c>
      <c r="F55" s="293">
        <f>SUM(Design!K159:K168)</f>
        <v>0</v>
      </c>
    </row>
    <row r="56" spans="1:7" ht="12.75">
      <c r="A56">
        <v>255000</v>
      </c>
      <c r="B56">
        <v>54</v>
      </c>
      <c r="D56" t="s">
        <v>1333</v>
      </c>
      <c r="F56">
        <f>ROUND(((6*F55/PI())^(1/3))^2*PI(),2)*1.3</f>
        <v>0</v>
      </c>
      <c r="G56">
        <f>(Design!F171/$F$9)/100</f>
        <v>0</v>
      </c>
    </row>
    <row r="57" spans="1:6" ht="12.75">
      <c r="A57">
        <v>287000</v>
      </c>
      <c r="B57">
        <v>55</v>
      </c>
      <c r="D57" t="s">
        <v>1334</v>
      </c>
      <c r="F57" s="293">
        <f>SUM(Design!K173:K188)</f>
        <v>0</v>
      </c>
    </row>
    <row r="58" spans="1:7" ht="12.75">
      <c r="A58">
        <v>319000</v>
      </c>
      <c r="B58">
        <v>56</v>
      </c>
      <c r="D58" t="s">
        <v>1335</v>
      </c>
      <c r="F58">
        <f>ROUND(((6*F57/PI())^(1/3))^2*PI(),2)*1.3</f>
        <v>0</v>
      </c>
      <c r="G58">
        <f>(Design!F189/$F$9)/100</f>
        <v>0</v>
      </c>
    </row>
    <row r="59" spans="1:6" ht="12.75">
      <c r="A59">
        <v>351000</v>
      </c>
      <c r="B59">
        <v>57</v>
      </c>
      <c r="D59" t="s">
        <v>1336</v>
      </c>
      <c r="F59" s="293">
        <f>SUM(Design!K191:K195)</f>
        <v>0</v>
      </c>
    </row>
    <row r="60" spans="1:7" ht="12.75">
      <c r="A60">
        <v>383000</v>
      </c>
      <c r="B60">
        <v>58</v>
      </c>
      <c r="D60" t="s">
        <v>1337</v>
      </c>
      <c r="F60">
        <f>ROUND(((6*F59/PI())^(1/3))^2*PI(),2)*1.3</f>
        <v>0</v>
      </c>
      <c r="G60">
        <f>(Design!F197/$F$9)/100</f>
        <v>0</v>
      </c>
    </row>
    <row r="61" spans="1:6" ht="12.75">
      <c r="A61">
        <v>447000</v>
      </c>
      <c r="B61">
        <v>59</v>
      </c>
      <c r="D61" t="s">
        <v>1338</v>
      </c>
      <c r="F61" s="293">
        <f>Design!K35+Design!K38+Design!K45+Design!K139+Design!K142+Design!K145+Design!K148+Design!K151+Design!K199+Design!K202+Design!K203</f>
        <v>140</v>
      </c>
    </row>
    <row r="62" spans="4:7" ht="12.75">
      <c r="D62" t="s">
        <v>1339</v>
      </c>
      <c r="F62">
        <f>ROUND(((6*F61/PI())^(1/3))^2*PI(),2)*1.3</f>
        <v>169.50699999999998</v>
      </c>
      <c r="G62">
        <f>(Design!F204/$F$9)/100</f>
        <v>0</v>
      </c>
    </row>
    <row r="63" spans="1:6" ht="12.75">
      <c r="A63" s="278" t="s">
        <v>1340</v>
      </c>
      <c r="D63" t="s">
        <v>1341</v>
      </c>
      <c r="F63" s="293">
        <f>Design!K230</f>
        <v>0</v>
      </c>
    </row>
    <row r="64" spans="1:7" ht="12.75">
      <c r="A64">
        <v>0</v>
      </c>
      <c r="B64">
        <v>-7</v>
      </c>
      <c r="D64" t="s">
        <v>1342</v>
      </c>
      <c r="F64">
        <f>ROUND(((6*F63/PI())^(1/3))^2*PI(),2)*1.3</f>
        <v>0</v>
      </c>
      <c r="G64">
        <f>(Design!F231/$F$9)/100</f>
        <v>0</v>
      </c>
    </row>
    <row r="65" spans="1:6" ht="12.75">
      <c r="A65">
        <v>2.1</v>
      </c>
      <c r="B65">
        <v>-6</v>
      </c>
      <c r="D65" t="s">
        <v>1343</v>
      </c>
      <c r="F65" s="293">
        <f>SUM(Design!K233:K242)</f>
        <v>112</v>
      </c>
    </row>
    <row r="66" spans="1:7" ht="12.75">
      <c r="A66">
        <v>3.1</v>
      </c>
      <c r="B66">
        <v>-5</v>
      </c>
      <c r="D66" t="s">
        <v>1344</v>
      </c>
      <c r="F66">
        <f>ROUND(((6*F65/PI())^(1/3))^2*PI(),2)*1.3</f>
        <v>146.068</v>
      </c>
      <c r="G66">
        <f>(Design!F243/$F$9)/100</f>
        <v>0</v>
      </c>
    </row>
    <row r="67" spans="1:6" ht="12.75">
      <c r="A67">
        <v>5</v>
      </c>
      <c r="B67">
        <v>-4</v>
      </c>
      <c r="D67" t="s">
        <v>1345</v>
      </c>
      <c r="F67" s="293">
        <f>SUM(Design!K245:K256)</f>
        <v>23.374399999999998</v>
      </c>
    </row>
    <row r="68" spans="1:7" ht="12.75">
      <c r="A68">
        <v>10</v>
      </c>
      <c r="B68">
        <v>-3</v>
      </c>
      <c r="D68" t="s">
        <v>1346</v>
      </c>
      <c r="F68">
        <f>ROUND(((6*F67/PI())^(1/3))^2*PI(),2)*1.3</f>
        <v>51.389</v>
      </c>
      <c r="G68">
        <f>(Design!F257/$F$9)/100</f>
        <v>0</v>
      </c>
    </row>
    <row r="69" spans="1:2" ht="12.75">
      <c r="A69">
        <v>20</v>
      </c>
      <c r="B69">
        <v>-2</v>
      </c>
    </row>
    <row r="70" spans="1:26" ht="12.75">
      <c r="A70">
        <v>30</v>
      </c>
      <c r="B70">
        <v>-1</v>
      </c>
      <c r="D70" s="14" t="s">
        <v>1347</v>
      </c>
      <c r="E70">
        <v>0</v>
      </c>
      <c r="F70">
        <v>1</v>
      </c>
      <c r="G70">
        <v>2</v>
      </c>
      <c r="H70">
        <v>3</v>
      </c>
      <c r="I70">
        <v>4</v>
      </c>
      <c r="J70">
        <v>5</v>
      </c>
      <c r="K70">
        <v>6</v>
      </c>
      <c r="L70">
        <v>7</v>
      </c>
      <c r="M70">
        <v>8</v>
      </c>
      <c r="N70">
        <v>9</v>
      </c>
      <c r="O70">
        <v>10</v>
      </c>
      <c r="P70">
        <v>11</v>
      </c>
      <c r="Q70">
        <v>12</v>
      </c>
      <c r="R70">
        <v>13</v>
      </c>
      <c r="S70">
        <v>14</v>
      </c>
      <c r="T70">
        <v>15</v>
      </c>
      <c r="U70">
        <v>16</v>
      </c>
      <c r="V70">
        <v>17</v>
      </c>
      <c r="W70">
        <v>18</v>
      </c>
      <c r="X70">
        <v>19</v>
      </c>
      <c r="Y70">
        <v>20</v>
      </c>
      <c r="Z70">
        <v>21</v>
      </c>
    </row>
    <row r="71" spans="1:26" ht="12.75">
      <c r="A71">
        <v>50</v>
      </c>
      <c r="B71">
        <v>0</v>
      </c>
      <c r="D71">
        <v>0</v>
      </c>
      <c r="E71" t="e">
        <f>#VALUE!</f>
        <v>#VALUE!</v>
      </c>
      <c r="F71" t="e">
        <f>#VALUE!</f>
        <v>#VALUE!</v>
      </c>
      <c r="G71">
        <v>900</v>
      </c>
      <c r="H71">
        <v>1020</v>
      </c>
      <c r="I71">
        <v>1320</v>
      </c>
      <c r="J71">
        <v>1920</v>
      </c>
      <c r="K71">
        <v>2820</v>
      </c>
      <c r="L71">
        <v>2880</v>
      </c>
      <c r="M71">
        <v>2940</v>
      </c>
      <c r="N71">
        <v>2940</v>
      </c>
      <c r="O71">
        <v>2940</v>
      </c>
      <c r="P71">
        <v>2940</v>
      </c>
      <c r="Q71">
        <v>2940</v>
      </c>
      <c r="R71">
        <v>2940</v>
      </c>
      <c r="S71">
        <v>2940</v>
      </c>
      <c r="T71">
        <v>2940</v>
      </c>
      <c r="U71">
        <v>2940</v>
      </c>
      <c r="V71">
        <v>2940</v>
      </c>
      <c r="W71">
        <v>2940</v>
      </c>
      <c r="X71">
        <v>2940</v>
      </c>
      <c r="Y71">
        <v>2940</v>
      </c>
      <c r="Z71">
        <v>2940</v>
      </c>
    </row>
    <row r="72" spans="1:26" ht="12.75">
      <c r="A72">
        <v>100</v>
      </c>
      <c r="B72">
        <v>1</v>
      </c>
      <c r="D72">
        <v>1</v>
      </c>
      <c r="E72" t="e">
        <f>#VALUE!</f>
        <v>#VALUE!</v>
      </c>
      <c r="F72" t="e">
        <f>#VALUE!</f>
        <v>#VALUE!</v>
      </c>
      <c r="G72" t="e">
        <f>#VALUE!</f>
        <v>#VALUE!</v>
      </c>
      <c r="H72" t="e">
        <f>#VALUE!</f>
        <v>#VALUE!</v>
      </c>
      <c r="I72" t="e">
        <f>#VALUE!</f>
        <v>#VALUE!</v>
      </c>
      <c r="J72" t="e">
        <f>#VALUE!</f>
        <v>#VALUE!</v>
      </c>
      <c r="K72">
        <v>2880</v>
      </c>
      <c r="L72">
        <v>3000</v>
      </c>
      <c r="M72">
        <v>3240</v>
      </c>
      <c r="N72">
        <v>3240</v>
      </c>
      <c r="O72">
        <v>3240</v>
      </c>
      <c r="P72">
        <v>3240</v>
      </c>
      <c r="Q72">
        <v>3240</v>
      </c>
      <c r="R72">
        <v>3240</v>
      </c>
      <c r="S72">
        <v>3240</v>
      </c>
      <c r="T72">
        <v>3240</v>
      </c>
      <c r="U72">
        <v>3240</v>
      </c>
      <c r="V72">
        <v>3240</v>
      </c>
      <c r="W72">
        <v>3240</v>
      </c>
      <c r="X72">
        <v>3240</v>
      </c>
      <c r="Y72">
        <v>3240</v>
      </c>
      <c r="Z72">
        <v>3240</v>
      </c>
    </row>
    <row r="73" spans="1:26" ht="12.75">
      <c r="A73">
        <v>200</v>
      </c>
      <c r="B73">
        <v>2</v>
      </c>
      <c r="D73">
        <v>2</v>
      </c>
      <c r="E73" t="e">
        <f>#VALUE!</f>
        <v>#VALUE!</v>
      </c>
      <c r="F73" t="e">
        <f>#VALUE!</f>
        <v>#VALUE!</v>
      </c>
      <c r="G73" t="e">
        <f>#VALUE!</f>
        <v>#VALUE!</v>
      </c>
      <c r="H73" t="e">
        <f>#VALUE!</f>
        <v>#VALUE!</v>
      </c>
      <c r="I73" t="e">
        <f>#VALUE!</f>
        <v>#VALUE!</v>
      </c>
      <c r="J73">
        <v>300</v>
      </c>
      <c r="K73">
        <v>500</v>
      </c>
      <c r="L73">
        <v>850</v>
      </c>
      <c r="M73">
        <v>770</v>
      </c>
      <c r="N73">
        <v>770</v>
      </c>
      <c r="O73">
        <v>770</v>
      </c>
      <c r="P73">
        <v>770</v>
      </c>
      <c r="Q73">
        <v>770</v>
      </c>
      <c r="R73">
        <v>770</v>
      </c>
      <c r="S73">
        <v>770</v>
      </c>
      <c r="T73">
        <v>770</v>
      </c>
      <c r="U73">
        <v>770</v>
      </c>
      <c r="V73">
        <v>770</v>
      </c>
      <c r="W73">
        <v>770</v>
      </c>
      <c r="X73">
        <v>770</v>
      </c>
      <c r="Y73">
        <v>770</v>
      </c>
      <c r="Z73">
        <v>770</v>
      </c>
    </row>
    <row r="74" spans="1:26" ht="12.75">
      <c r="A74">
        <v>300</v>
      </c>
      <c r="B74">
        <v>3</v>
      </c>
      <c r="D74">
        <v>3</v>
      </c>
      <c r="E74" t="e">
        <f>#VALUE!</f>
        <v>#VALUE!</v>
      </c>
      <c r="F74" t="e">
        <f>#VALUE!</f>
        <v>#VALUE!</v>
      </c>
      <c r="G74" t="e">
        <f>#VALUE!</f>
        <v>#VALUE!</v>
      </c>
      <c r="H74" t="e">
        <f>#VALUE!</f>
        <v>#VALUE!</v>
      </c>
      <c r="I74" t="e">
        <f>#VALUE!</f>
        <v>#VALUE!</v>
      </c>
      <c r="J74" t="e">
        <f>#VALUE!</f>
        <v>#VALUE!</v>
      </c>
      <c r="K74">
        <v>650</v>
      </c>
      <c r="L74">
        <v>1080</v>
      </c>
      <c r="M74">
        <v>1250</v>
      </c>
      <c r="N74">
        <v>1250</v>
      </c>
      <c r="O74">
        <v>1250</v>
      </c>
      <c r="P74">
        <v>1250</v>
      </c>
      <c r="Q74">
        <v>1250</v>
      </c>
      <c r="R74">
        <v>1250</v>
      </c>
      <c r="S74">
        <v>1250</v>
      </c>
      <c r="T74">
        <v>1250</v>
      </c>
      <c r="U74">
        <v>1250</v>
      </c>
      <c r="V74">
        <v>1250</v>
      </c>
      <c r="W74">
        <v>1250</v>
      </c>
      <c r="X74">
        <v>1250</v>
      </c>
      <c r="Y74">
        <v>1250</v>
      </c>
      <c r="Z74">
        <v>1250</v>
      </c>
    </row>
    <row r="75" spans="1:26" ht="12.75">
      <c r="A75">
        <v>500</v>
      </c>
      <c r="B75">
        <v>4</v>
      </c>
      <c r="D75">
        <v>4</v>
      </c>
      <c r="E75" t="e">
        <f>#VALUE!</f>
        <v>#VALUE!</v>
      </c>
      <c r="F75" t="e">
        <f>#VALUE!</f>
        <v>#VALUE!</v>
      </c>
      <c r="G75" t="e">
        <f>#VALUE!</f>
        <v>#VALUE!</v>
      </c>
      <c r="H75" t="e">
        <f>#VALUE!</f>
        <v>#VALUE!</v>
      </c>
      <c r="I75" t="e">
        <f>#VALUE!</f>
        <v>#VALUE!</v>
      </c>
      <c r="J75" t="e">
        <f>#VALUE!</f>
        <v>#VALUE!</v>
      </c>
      <c r="K75">
        <v>850</v>
      </c>
      <c r="L75">
        <v>930</v>
      </c>
      <c r="M75">
        <v>1320</v>
      </c>
      <c r="N75">
        <v>1320</v>
      </c>
      <c r="O75">
        <v>1320</v>
      </c>
      <c r="P75">
        <v>1320</v>
      </c>
      <c r="Q75">
        <v>1320</v>
      </c>
      <c r="R75">
        <v>1320</v>
      </c>
      <c r="S75">
        <v>1320</v>
      </c>
      <c r="T75">
        <v>1320</v>
      </c>
      <c r="U75">
        <v>1320</v>
      </c>
      <c r="V75">
        <v>1320</v>
      </c>
      <c r="W75">
        <v>1320</v>
      </c>
      <c r="X75">
        <v>1320</v>
      </c>
      <c r="Y75">
        <v>1320</v>
      </c>
      <c r="Z75">
        <v>1320</v>
      </c>
    </row>
    <row r="76" spans="1:26" ht="12.75">
      <c r="A76">
        <v>1000</v>
      </c>
      <c r="B76">
        <v>5</v>
      </c>
      <c r="D76">
        <v>5</v>
      </c>
      <c r="E76" t="e">
        <f>#VALUE!</f>
        <v>#VALUE!</v>
      </c>
      <c r="F76" t="e">
        <f>#VALUE!</f>
        <v>#VALUE!</v>
      </c>
      <c r="G76" t="e">
        <f>#VALUE!</f>
        <v>#VALUE!</v>
      </c>
      <c r="H76" t="e">
        <f>#VALUE!</f>
        <v>#VALUE!</v>
      </c>
      <c r="I76" t="e">
        <f>#VALUE!</f>
        <v>#VALUE!</v>
      </c>
      <c r="J76" t="e">
        <f>#VALUE!</f>
        <v>#VALUE!</v>
      </c>
      <c r="K76" t="e">
        <f>#VALUE!</f>
        <v>#VALUE!</v>
      </c>
      <c r="L76">
        <v>650</v>
      </c>
      <c r="M76">
        <v>730</v>
      </c>
      <c r="N76">
        <v>730</v>
      </c>
      <c r="O76">
        <v>730</v>
      </c>
      <c r="P76">
        <v>730</v>
      </c>
      <c r="Q76">
        <v>730</v>
      </c>
      <c r="R76">
        <v>730</v>
      </c>
      <c r="S76">
        <v>730</v>
      </c>
      <c r="T76">
        <v>730</v>
      </c>
      <c r="U76">
        <v>730</v>
      </c>
      <c r="V76">
        <v>730</v>
      </c>
      <c r="W76">
        <v>730</v>
      </c>
      <c r="X76">
        <v>730</v>
      </c>
      <c r="Y76">
        <v>730</v>
      </c>
      <c r="Z76">
        <v>730</v>
      </c>
    </row>
    <row r="77" spans="1:26" ht="12.75">
      <c r="A77">
        <v>2000</v>
      </c>
      <c r="B77">
        <v>6</v>
      </c>
      <c r="D77">
        <v>6</v>
      </c>
      <c r="E77" t="e">
        <f>#VALUE!</f>
        <v>#VALUE!</v>
      </c>
      <c r="F77" t="e">
        <f>#VALUE!</f>
        <v>#VALUE!</v>
      </c>
      <c r="G77" t="e">
        <f>#VALUE!</f>
        <v>#VALUE!</v>
      </c>
      <c r="H77" t="e">
        <f>#VALUE!</f>
        <v>#VALUE!</v>
      </c>
      <c r="I77" t="e">
        <f>#VALUE!</f>
        <v>#VALUE!</v>
      </c>
      <c r="J77" t="e">
        <f>#VALUE!</f>
        <v>#VALUE!</v>
      </c>
      <c r="K77" t="e">
        <f>#VALUE!</f>
        <v>#VALUE!</v>
      </c>
      <c r="L77">
        <v>80</v>
      </c>
      <c r="M77">
        <v>100</v>
      </c>
      <c r="N77">
        <v>100</v>
      </c>
      <c r="O77">
        <v>100</v>
      </c>
      <c r="P77">
        <v>100</v>
      </c>
      <c r="Q77">
        <v>100</v>
      </c>
      <c r="R77">
        <v>100</v>
      </c>
      <c r="S77">
        <v>100</v>
      </c>
      <c r="T77">
        <v>100</v>
      </c>
      <c r="U77">
        <v>100</v>
      </c>
      <c r="V77">
        <v>100</v>
      </c>
      <c r="W77">
        <v>100</v>
      </c>
      <c r="X77">
        <v>100</v>
      </c>
      <c r="Y77">
        <v>100</v>
      </c>
      <c r="Z77">
        <v>100</v>
      </c>
    </row>
    <row r="78" spans="1:26" ht="12.75">
      <c r="A78">
        <v>3000</v>
      </c>
      <c r="B78">
        <v>7</v>
      </c>
      <c r="D78">
        <v>7</v>
      </c>
      <c r="E78" t="e">
        <f>#VALUE!</f>
        <v>#VALUE!</v>
      </c>
      <c r="F78" t="e">
        <f>#VALUE!</f>
        <v>#VALUE!</v>
      </c>
      <c r="G78" t="e">
        <f>#VALUE!</f>
        <v>#VALUE!</v>
      </c>
      <c r="H78" t="e">
        <f>#VALUE!</f>
        <v>#VALUE!</v>
      </c>
      <c r="I78" t="e">
        <f>#VALUE!</f>
        <v>#VALUE!</v>
      </c>
      <c r="J78" t="e">
        <f>#VALUE!</f>
        <v>#VALUE!</v>
      </c>
      <c r="K78" t="e">
        <f>#VALUE!</f>
        <v>#VALUE!</v>
      </c>
      <c r="L78" t="e">
        <f>#VALUE!</f>
        <v>#VALUE!</v>
      </c>
      <c r="M78">
        <v>120</v>
      </c>
      <c r="N78">
        <v>120</v>
      </c>
      <c r="O78">
        <v>120</v>
      </c>
      <c r="P78">
        <v>120</v>
      </c>
      <c r="Q78">
        <v>120</v>
      </c>
      <c r="R78">
        <v>120</v>
      </c>
      <c r="S78">
        <v>120</v>
      </c>
      <c r="T78">
        <v>120</v>
      </c>
      <c r="U78">
        <v>120</v>
      </c>
      <c r="V78">
        <v>120</v>
      </c>
      <c r="W78">
        <v>120</v>
      </c>
      <c r="X78">
        <v>120</v>
      </c>
      <c r="Y78">
        <v>120</v>
      </c>
      <c r="Z78">
        <v>120</v>
      </c>
    </row>
    <row r="79" spans="1:26" ht="12.75">
      <c r="A79">
        <v>5000</v>
      </c>
      <c r="B79">
        <v>8</v>
      </c>
      <c r="D79">
        <v>8</v>
      </c>
      <c r="E79" t="e">
        <f>#VALUE!</f>
        <v>#VALUE!</v>
      </c>
      <c r="F79" t="e">
        <f>#VALUE!</f>
        <v>#VALUE!</v>
      </c>
      <c r="G79" t="e">
        <f>#VALUE!</f>
        <v>#VALUE!</v>
      </c>
      <c r="H79" t="e">
        <f>#VALUE!</f>
        <v>#VALUE!</v>
      </c>
      <c r="I79" t="e">
        <f>#VALUE!</f>
        <v>#VALUE!</v>
      </c>
      <c r="J79" t="e">
        <f>#VALUE!</f>
        <v>#VALUE!</v>
      </c>
      <c r="K79" t="e">
        <f>#VALUE!</f>
        <v>#VALUE!</v>
      </c>
      <c r="L79" t="e">
        <f>#VALUE!</f>
        <v>#VALUE!</v>
      </c>
      <c r="M79" t="e">
        <f>#VALUE!</f>
        <v>#VALUE!</v>
      </c>
      <c r="N79">
        <v>50</v>
      </c>
      <c r="O79">
        <v>50</v>
      </c>
      <c r="P79">
        <v>50</v>
      </c>
      <c r="Q79">
        <v>50</v>
      </c>
      <c r="R79">
        <v>50</v>
      </c>
      <c r="S79">
        <v>50</v>
      </c>
      <c r="T79">
        <v>50</v>
      </c>
      <c r="U79">
        <v>50</v>
      </c>
      <c r="V79">
        <v>50</v>
      </c>
      <c r="W79">
        <v>50</v>
      </c>
      <c r="X79">
        <v>50</v>
      </c>
      <c r="Y79">
        <v>50</v>
      </c>
      <c r="Z79">
        <v>50</v>
      </c>
    </row>
    <row r="80" spans="1:26" ht="12.75">
      <c r="A80">
        <v>10000</v>
      </c>
      <c r="B80">
        <v>9</v>
      </c>
      <c r="D80">
        <v>9</v>
      </c>
      <c r="E80" t="e">
        <f>#VALUE!</f>
        <v>#VALUE!</v>
      </c>
      <c r="F80" t="e">
        <f>#VALUE!</f>
        <v>#VALUE!</v>
      </c>
      <c r="G80" t="e">
        <f>#VALUE!</f>
        <v>#VALUE!</v>
      </c>
      <c r="H80" t="e">
        <f>#VALUE!</f>
        <v>#VALUE!</v>
      </c>
      <c r="I80" t="e">
        <f>#VALUE!</f>
        <v>#VALUE!</v>
      </c>
      <c r="J80" t="e">
        <f>#VALUE!</f>
        <v>#VALUE!</v>
      </c>
      <c r="K80" t="e">
        <f>#VALUE!</f>
        <v>#VALUE!</v>
      </c>
      <c r="L80" t="e">
        <f>#VALUE!</f>
        <v>#VALUE!</v>
      </c>
      <c r="M80">
        <v>30</v>
      </c>
      <c r="N80">
        <v>90</v>
      </c>
      <c r="O80">
        <v>90</v>
      </c>
      <c r="P80">
        <v>90</v>
      </c>
      <c r="Q80">
        <v>90</v>
      </c>
      <c r="R80">
        <v>90</v>
      </c>
      <c r="S80">
        <v>90</v>
      </c>
      <c r="T80">
        <v>90</v>
      </c>
      <c r="U80">
        <v>90</v>
      </c>
      <c r="V80">
        <v>90</v>
      </c>
      <c r="W80">
        <v>90</v>
      </c>
      <c r="X80">
        <v>90</v>
      </c>
      <c r="Y80">
        <v>90</v>
      </c>
      <c r="Z80">
        <v>90</v>
      </c>
    </row>
    <row r="81" spans="1:26" ht="12.75">
      <c r="A81">
        <v>20000</v>
      </c>
      <c r="B81">
        <v>10</v>
      </c>
      <c r="D81">
        <v>10</v>
      </c>
      <c r="E81" t="e">
        <f>#VALUE!</f>
        <v>#VALUE!</v>
      </c>
      <c r="F81" t="e">
        <f>#VALUE!</f>
        <v>#VALUE!</v>
      </c>
      <c r="G81" t="e">
        <f>#VALUE!</f>
        <v>#VALUE!</v>
      </c>
      <c r="H81" t="e">
        <f>#VALUE!</f>
        <v>#VALUE!</v>
      </c>
      <c r="I81" t="e">
        <f>#VALUE!</f>
        <v>#VALUE!</v>
      </c>
      <c r="J81" t="e">
        <f>#VALUE!</f>
        <v>#VALUE!</v>
      </c>
      <c r="K81" t="e">
        <f>#VALUE!</f>
        <v>#VALUE!</v>
      </c>
      <c r="L81">
        <v>0.033</v>
      </c>
      <c r="M81">
        <v>0.033</v>
      </c>
      <c r="N81">
        <v>0.033</v>
      </c>
      <c r="O81">
        <v>0.033</v>
      </c>
      <c r="P81">
        <v>0.033</v>
      </c>
      <c r="Q81">
        <v>0.033</v>
      </c>
      <c r="R81">
        <v>0.033</v>
      </c>
      <c r="S81">
        <v>0.033</v>
      </c>
      <c r="T81">
        <v>0.033</v>
      </c>
      <c r="U81">
        <v>0.033</v>
      </c>
      <c r="V81">
        <v>0.033</v>
      </c>
      <c r="W81">
        <v>0.033</v>
      </c>
      <c r="X81">
        <v>0.033</v>
      </c>
      <c r="Y81">
        <v>0.033</v>
      </c>
      <c r="Z81">
        <v>0.033</v>
      </c>
    </row>
    <row r="82" spans="1:26" ht="12.75">
      <c r="A82">
        <v>30000</v>
      </c>
      <c r="B82">
        <v>11</v>
      </c>
      <c r="D82">
        <v>11</v>
      </c>
      <c r="E82" t="e">
        <f>#VALUE!</f>
        <v>#VALUE!</v>
      </c>
      <c r="F82" t="e">
        <f>#VALUE!</f>
        <v>#VALUE!</v>
      </c>
      <c r="G82" t="e">
        <f>#VALUE!</f>
        <v>#VALUE!</v>
      </c>
      <c r="H82" t="e">
        <f>#VALUE!</f>
        <v>#VALUE!</v>
      </c>
      <c r="I82" t="e">
        <f>#VALUE!</f>
        <v>#VALUE!</v>
      </c>
      <c r="J82" t="e">
        <f>#VALUE!</f>
        <v>#VALUE!</v>
      </c>
      <c r="K82" t="e">
        <f>#VALUE!</f>
        <v>#VALUE!</v>
      </c>
      <c r="L82" t="e">
        <f>#VALUE!</f>
        <v>#VALUE!</v>
      </c>
      <c r="M82" t="e">
        <f>#VALUE!</f>
        <v>#VALUE!</v>
      </c>
      <c r="N82">
        <v>15</v>
      </c>
      <c r="O82">
        <v>15</v>
      </c>
      <c r="P82">
        <v>15</v>
      </c>
      <c r="Q82">
        <v>15</v>
      </c>
      <c r="R82">
        <v>15</v>
      </c>
      <c r="S82">
        <v>15</v>
      </c>
      <c r="T82">
        <v>15</v>
      </c>
      <c r="U82">
        <v>15</v>
      </c>
      <c r="V82">
        <v>15</v>
      </c>
      <c r="W82">
        <v>15</v>
      </c>
      <c r="X82">
        <v>15</v>
      </c>
      <c r="Y82">
        <v>15</v>
      </c>
      <c r="Z82">
        <v>15</v>
      </c>
    </row>
    <row r="83" spans="1:26" ht="12.75">
      <c r="A83">
        <v>50000</v>
      </c>
      <c r="B83">
        <v>12</v>
      </c>
      <c r="D83">
        <v>12</v>
      </c>
      <c r="E83" t="e">
        <f>#VALUE!</f>
        <v>#VALUE!</v>
      </c>
      <c r="F83" t="e">
        <f>#VALUE!</f>
        <v>#VALUE!</v>
      </c>
      <c r="G83" t="e">
        <f>#VALUE!</f>
        <v>#VALUE!</v>
      </c>
      <c r="H83" t="e">
        <f>#VALUE!</f>
        <v>#VALUE!</v>
      </c>
      <c r="I83" t="e">
        <f>#VALUE!</f>
        <v>#VALUE!</v>
      </c>
      <c r="J83" t="e">
        <f>#VALUE!</f>
        <v>#VALUE!</v>
      </c>
      <c r="K83" t="e">
        <f>#VALUE!</f>
        <v>#VALUE!</v>
      </c>
      <c r="L83" t="e">
        <f>#VALUE!</f>
        <v>#VALUE!</v>
      </c>
      <c r="M83" t="e">
        <f>#VALUE!</f>
        <v>#VALUE!</v>
      </c>
      <c r="N83">
        <v>45</v>
      </c>
      <c r="O83">
        <v>45</v>
      </c>
      <c r="P83">
        <v>45</v>
      </c>
      <c r="Q83">
        <v>45</v>
      </c>
      <c r="R83">
        <v>45</v>
      </c>
      <c r="S83">
        <v>45</v>
      </c>
      <c r="T83">
        <v>45</v>
      </c>
      <c r="U83">
        <v>45</v>
      </c>
      <c r="V83">
        <v>45</v>
      </c>
      <c r="W83">
        <v>45</v>
      </c>
      <c r="X83">
        <v>45</v>
      </c>
      <c r="Y83">
        <v>45</v>
      </c>
      <c r="Z83">
        <v>45</v>
      </c>
    </row>
    <row r="84" spans="1:26" ht="12.75">
      <c r="A84">
        <v>100000</v>
      </c>
      <c r="B84">
        <v>13</v>
      </c>
      <c r="D84">
        <v>13</v>
      </c>
      <c r="E84" t="e">
        <f>#VALUE!</f>
        <v>#VALUE!</v>
      </c>
      <c r="F84" t="e">
        <f>#VALUE!</f>
        <v>#VALUE!</v>
      </c>
      <c r="G84" t="e">
        <f>#VALUE!</f>
        <v>#VALUE!</v>
      </c>
      <c r="H84" t="e">
        <f>#VALUE!</f>
        <v>#VALUE!</v>
      </c>
      <c r="I84" t="e">
        <f>#VALUE!</f>
        <v>#VALUE!</v>
      </c>
      <c r="J84" t="e">
        <f>#VALUE!</f>
        <v>#VALUE!</v>
      </c>
      <c r="K84" t="e">
        <f>#VALUE!</f>
        <v>#VALUE!</v>
      </c>
      <c r="L84" t="e">
        <f>#VALUE!</f>
        <v>#VALUE!</v>
      </c>
      <c r="M84" t="e">
        <f>#VALUE!</f>
        <v>#VALUE!</v>
      </c>
      <c r="N84" t="e">
        <f>#VALUE!</f>
        <v>#VALUE!</v>
      </c>
      <c r="O84">
        <v>1100</v>
      </c>
      <c r="P84">
        <v>1100</v>
      </c>
      <c r="Q84">
        <v>1100</v>
      </c>
      <c r="R84">
        <v>1100</v>
      </c>
      <c r="S84">
        <v>1100</v>
      </c>
      <c r="T84">
        <v>1100</v>
      </c>
      <c r="U84">
        <v>1100</v>
      </c>
      <c r="V84">
        <v>1100</v>
      </c>
      <c r="W84">
        <v>1100</v>
      </c>
      <c r="X84">
        <v>1100</v>
      </c>
      <c r="Y84">
        <v>1100</v>
      </c>
      <c r="Z84">
        <v>1100</v>
      </c>
    </row>
    <row r="85" spans="1:2" ht="12.75">
      <c r="A85">
        <v>200000</v>
      </c>
      <c r="B85">
        <v>14</v>
      </c>
    </row>
    <row r="86" spans="1:26" ht="12.75">
      <c r="A86">
        <v>300000</v>
      </c>
      <c r="B86">
        <v>15</v>
      </c>
      <c r="D86" s="14" t="s">
        <v>1348</v>
      </c>
      <c r="E86">
        <v>0</v>
      </c>
      <c r="F86">
        <v>1</v>
      </c>
      <c r="G86">
        <v>2</v>
      </c>
      <c r="H86">
        <v>3</v>
      </c>
      <c r="I86">
        <v>4</v>
      </c>
      <c r="J86">
        <v>5</v>
      </c>
      <c r="K86">
        <v>6</v>
      </c>
      <c r="L86">
        <v>7</v>
      </c>
      <c r="M86">
        <v>8</v>
      </c>
      <c r="N86">
        <v>9</v>
      </c>
      <c r="O86">
        <v>10</v>
      </c>
      <c r="P86">
        <v>11</v>
      </c>
      <c r="Q86">
        <v>12</v>
      </c>
      <c r="R86">
        <v>13</v>
      </c>
      <c r="S86">
        <v>14</v>
      </c>
      <c r="T86">
        <v>15</v>
      </c>
      <c r="U86">
        <v>16</v>
      </c>
      <c r="V86">
        <v>17</v>
      </c>
      <c r="W86">
        <v>18</v>
      </c>
      <c r="X86">
        <v>19</v>
      </c>
      <c r="Y86">
        <v>20</v>
      </c>
      <c r="Z86">
        <v>21</v>
      </c>
    </row>
    <row r="87" spans="1:26" ht="12.75">
      <c r="A87">
        <v>500000</v>
      </c>
      <c r="B87">
        <v>16</v>
      </c>
      <c r="D87">
        <v>0</v>
      </c>
      <c r="E87" t="e">
        <f>#VALUE!</f>
        <v>#VALUE!</v>
      </c>
      <c r="F87" t="e">
        <f>#VALUE!</f>
        <v>#VALUE!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ht="12.75">
      <c r="A88">
        <v>1000000</v>
      </c>
      <c r="B88">
        <v>17</v>
      </c>
      <c r="D88">
        <v>1</v>
      </c>
      <c r="E88" t="e">
        <f>#VALUE!</f>
        <v>#VALUE!</v>
      </c>
      <c r="F88" t="e">
        <f>#VALUE!</f>
        <v>#VALUE!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>
        <v>2000000</v>
      </c>
      <c r="B89">
        <v>18</v>
      </c>
      <c r="D89">
        <v>2</v>
      </c>
      <c r="E89" t="e">
        <f>#VALUE!</f>
        <v>#VALUE!</v>
      </c>
      <c r="F89" t="e">
        <f>#VALUE!</f>
        <v>#VALUE!</v>
      </c>
      <c r="G89" t="e">
        <f>#VALUE!</f>
        <v>#VALUE!</v>
      </c>
      <c r="H89" t="e">
        <f>#VALUE!</f>
        <v>#VALUE!</v>
      </c>
      <c r="I89" t="e">
        <f>#VALUE!</f>
        <v>#VALUE!</v>
      </c>
      <c r="J89">
        <v>1.28</v>
      </c>
      <c r="K89">
        <v>1.16</v>
      </c>
      <c r="L89">
        <v>1.19</v>
      </c>
      <c r="M89">
        <v>1.06</v>
      </c>
      <c r="N89">
        <v>1.06</v>
      </c>
      <c r="O89">
        <v>1.06</v>
      </c>
      <c r="P89">
        <v>1.06</v>
      </c>
      <c r="Q89">
        <v>1.06</v>
      </c>
      <c r="R89">
        <v>1.06</v>
      </c>
      <c r="S89">
        <v>1.06</v>
      </c>
      <c r="T89">
        <v>1.06</v>
      </c>
      <c r="U89">
        <v>1.06</v>
      </c>
      <c r="V89">
        <v>1.06</v>
      </c>
      <c r="W89">
        <v>1.06</v>
      </c>
      <c r="X89">
        <v>1.06</v>
      </c>
      <c r="Y89">
        <v>1.06</v>
      </c>
      <c r="Z89">
        <v>1.06</v>
      </c>
    </row>
    <row r="90" spans="1:26" ht="12.75">
      <c r="A90">
        <v>3000000</v>
      </c>
      <c r="B90">
        <v>19</v>
      </c>
      <c r="D90">
        <v>3</v>
      </c>
      <c r="E90" t="e">
        <f>#VALUE!</f>
        <v>#VALUE!</v>
      </c>
      <c r="F90" t="e">
        <f>#VALUE!</f>
        <v>#VALUE!</v>
      </c>
      <c r="G90" t="e">
        <f>#VALUE!</f>
        <v>#VALUE!</v>
      </c>
      <c r="H90" t="e">
        <f>#VALUE!</f>
        <v>#VALUE!</v>
      </c>
      <c r="I90" t="e">
        <f>#VALUE!</f>
        <v>#VALUE!</v>
      </c>
      <c r="J90" t="e">
        <f>#VALUE!</f>
        <v>#VALUE!</v>
      </c>
      <c r="K90">
        <v>0.86</v>
      </c>
      <c r="L90">
        <v>0.86</v>
      </c>
      <c r="M90">
        <v>0.8</v>
      </c>
      <c r="N90">
        <v>0.8</v>
      </c>
      <c r="O90">
        <v>0.8</v>
      </c>
      <c r="P90">
        <v>0.8</v>
      </c>
      <c r="Q90">
        <v>0.8</v>
      </c>
      <c r="R90">
        <v>0.8</v>
      </c>
      <c r="S90">
        <v>0.8</v>
      </c>
      <c r="T90">
        <v>0.8</v>
      </c>
      <c r="U90">
        <v>0.8</v>
      </c>
      <c r="V90">
        <v>0.8</v>
      </c>
      <c r="W90">
        <v>0.8</v>
      </c>
      <c r="X90">
        <v>0.8</v>
      </c>
      <c r="Y90">
        <v>0.8</v>
      </c>
      <c r="Z90">
        <v>0.8</v>
      </c>
    </row>
    <row r="91" spans="1:26" ht="12.75">
      <c r="A91">
        <v>5000000</v>
      </c>
      <c r="B91">
        <v>20</v>
      </c>
      <c r="D91">
        <v>4</v>
      </c>
      <c r="E91" t="e">
        <f>#VALUE!</f>
        <v>#VALUE!</v>
      </c>
      <c r="F91" t="e">
        <f>#VALUE!</f>
        <v>#VALUE!</v>
      </c>
      <c r="G91" t="e">
        <f>#VALUE!</f>
        <v>#VALUE!</v>
      </c>
      <c r="H91" t="e">
        <f>#VALUE!</f>
        <v>#VALUE!</v>
      </c>
      <c r="I91" t="e">
        <f>#VALUE!</f>
        <v>#VALUE!</v>
      </c>
      <c r="J91" t="e">
        <f>#VALUE!</f>
        <v>#VALUE!</v>
      </c>
      <c r="K91">
        <v>1.22</v>
      </c>
      <c r="L91">
        <v>1.22</v>
      </c>
      <c r="M91">
        <v>1.14</v>
      </c>
      <c r="N91">
        <v>1.14</v>
      </c>
      <c r="O91">
        <v>1.14</v>
      </c>
      <c r="P91">
        <v>1.14</v>
      </c>
      <c r="Q91">
        <v>1.14</v>
      </c>
      <c r="R91">
        <v>1.14</v>
      </c>
      <c r="S91">
        <v>1.14</v>
      </c>
      <c r="T91">
        <v>1.14</v>
      </c>
      <c r="U91">
        <v>1.14</v>
      </c>
      <c r="V91">
        <v>1.14</v>
      </c>
      <c r="W91">
        <v>1.14</v>
      </c>
      <c r="X91">
        <v>1.14</v>
      </c>
      <c r="Y91">
        <v>1.14</v>
      </c>
      <c r="Z91">
        <v>1.14</v>
      </c>
    </row>
    <row r="92" spans="1:26" ht="12.75">
      <c r="A92">
        <v>10000000</v>
      </c>
      <c r="B92">
        <v>21</v>
      </c>
      <c r="D92">
        <v>5</v>
      </c>
      <c r="E92" t="e">
        <f>#VALUE!</f>
        <v>#VALUE!</v>
      </c>
      <c r="F92" t="e">
        <f>#VALUE!</f>
        <v>#VALUE!</v>
      </c>
      <c r="G92" t="e">
        <f>#VALUE!</f>
        <v>#VALUE!</v>
      </c>
      <c r="H92" t="e">
        <f>#VALUE!</f>
        <v>#VALUE!</v>
      </c>
      <c r="I92" t="e">
        <f>#VALUE!</f>
        <v>#VALUE!</v>
      </c>
      <c r="J92" t="e">
        <f>#VALUE!</f>
        <v>#VALUE!</v>
      </c>
      <c r="K92" t="e">
        <f>#VALUE!</f>
        <v>#VALUE!</v>
      </c>
      <c r="L92">
        <v>2.54</v>
      </c>
      <c r="M92">
        <v>2.4</v>
      </c>
      <c r="N92">
        <v>2.4</v>
      </c>
      <c r="O92">
        <v>2.4</v>
      </c>
      <c r="P92">
        <v>2.4</v>
      </c>
      <c r="Q92">
        <v>2.4</v>
      </c>
      <c r="R92">
        <v>2.4</v>
      </c>
      <c r="S92">
        <v>2.4</v>
      </c>
      <c r="T92">
        <v>2.4</v>
      </c>
      <c r="U92">
        <v>2.4</v>
      </c>
      <c r="V92">
        <v>2.4</v>
      </c>
      <c r="W92">
        <v>2.4</v>
      </c>
      <c r="X92">
        <v>2.4</v>
      </c>
      <c r="Y92">
        <v>2.4</v>
      </c>
      <c r="Z92">
        <v>2.4</v>
      </c>
    </row>
    <row r="93" spans="4:26" ht="12.75">
      <c r="D93">
        <v>6</v>
      </c>
      <c r="E93" t="e">
        <f>#VALUE!</f>
        <v>#VALUE!</v>
      </c>
      <c r="F93" t="e">
        <f>#VALUE!</f>
        <v>#VALUE!</v>
      </c>
      <c r="G93" t="e">
        <f>#VALUE!</f>
        <v>#VALUE!</v>
      </c>
      <c r="H93" t="e">
        <f>#VALUE!</f>
        <v>#VALUE!</v>
      </c>
      <c r="I93" t="e">
        <f>#VALUE!</f>
        <v>#VALUE!</v>
      </c>
      <c r="J93" t="e">
        <f>#VALUE!</f>
        <v>#VALUE!</v>
      </c>
      <c r="K93" t="e">
        <f>#VALUE!</f>
        <v>#VALUE!</v>
      </c>
      <c r="L93">
        <v>5.94</v>
      </c>
      <c r="M93">
        <v>5.9</v>
      </c>
      <c r="N93">
        <v>5.9</v>
      </c>
      <c r="O93">
        <v>5.9</v>
      </c>
      <c r="P93">
        <v>5.9</v>
      </c>
      <c r="Q93">
        <v>5.9</v>
      </c>
      <c r="R93">
        <v>5.9</v>
      </c>
      <c r="S93">
        <v>5.9</v>
      </c>
      <c r="T93">
        <v>5.9</v>
      </c>
      <c r="U93">
        <v>5.9</v>
      </c>
      <c r="V93">
        <v>5.9</v>
      </c>
      <c r="W93">
        <v>5.9</v>
      </c>
      <c r="X93">
        <v>5.9</v>
      </c>
      <c r="Y93">
        <v>5.9</v>
      </c>
      <c r="Z93">
        <v>5.9</v>
      </c>
    </row>
    <row r="94" spans="1:26" ht="12.75">
      <c r="A94" s="278" t="s">
        <v>1349</v>
      </c>
      <c r="D94">
        <v>7</v>
      </c>
      <c r="E94" t="e">
        <f>#VALUE!</f>
        <v>#VALUE!</v>
      </c>
      <c r="F94" t="e">
        <f>#VALUE!</f>
        <v>#VALUE!</v>
      </c>
      <c r="G94" t="e">
        <f>#VALUE!</f>
        <v>#VALUE!</v>
      </c>
      <c r="H94" t="e">
        <f>#VALUE!</f>
        <v>#VALUE!</v>
      </c>
      <c r="I94" t="e">
        <f>#VALUE!</f>
        <v>#VALUE!</v>
      </c>
      <c r="J94" t="e">
        <f>#VALUE!</f>
        <v>#VALUE!</v>
      </c>
      <c r="K94" t="e">
        <f>#VALUE!</f>
        <v>#VALUE!</v>
      </c>
      <c r="L94" t="e">
        <f>#VALUE!</f>
        <v>#VALUE!</v>
      </c>
      <c r="M94">
        <v>4.17</v>
      </c>
      <c r="N94">
        <v>4.17</v>
      </c>
      <c r="O94">
        <v>4.17</v>
      </c>
      <c r="P94">
        <v>4.17</v>
      </c>
      <c r="Q94">
        <v>4.17</v>
      </c>
      <c r="R94">
        <v>4.17</v>
      </c>
      <c r="S94">
        <v>4.17</v>
      </c>
      <c r="T94">
        <v>4.17</v>
      </c>
      <c r="U94">
        <v>4.17</v>
      </c>
      <c r="V94">
        <v>4.17</v>
      </c>
      <c r="W94">
        <v>4.17</v>
      </c>
      <c r="X94">
        <v>4.17</v>
      </c>
      <c r="Y94">
        <v>4.17</v>
      </c>
      <c r="Z94">
        <v>4.17</v>
      </c>
    </row>
    <row r="95" spans="1:26" ht="12.75">
      <c r="A95">
        <v>0</v>
      </c>
      <c r="B95">
        <v>-4</v>
      </c>
      <c r="D95">
        <v>8</v>
      </c>
      <c r="E95" t="e">
        <f>#VALUE!</f>
        <v>#VALUE!</v>
      </c>
      <c r="F95" t="e">
        <f>#VALUE!</f>
        <v>#VALUE!</v>
      </c>
      <c r="G95" t="e">
        <f>#VALUE!</f>
        <v>#VALUE!</v>
      </c>
      <c r="H95" t="e">
        <f>#VALUE!</f>
        <v>#VALUE!</v>
      </c>
      <c r="I95" t="e">
        <f>#VALUE!</f>
        <v>#VALUE!</v>
      </c>
      <c r="J95" t="e">
        <f>#VALUE!</f>
        <v>#VALUE!</v>
      </c>
      <c r="K95" t="e">
        <f>#VALUE!</f>
        <v>#VALUE!</v>
      </c>
      <c r="L95" t="e">
        <f>#VALUE!</f>
        <v>#VALUE!</v>
      </c>
      <c r="M95" t="e">
        <f>#VALUE!</f>
        <v>#VALUE!</v>
      </c>
      <c r="N95">
        <v>2.52</v>
      </c>
      <c r="O95">
        <v>2.52</v>
      </c>
      <c r="P95">
        <v>2.52</v>
      </c>
      <c r="Q95">
        <v>2.52</v>
      </c>
      <c r="R95">
        <v>2.52</v>
      </c>
      <c r="S95">
        <v>2.52</v>
      </c>
      <c r="T95">
        <v>2.52</v>
      </c>
      <c r="U95">
        <v>2.52</v>
      </c>
      <c r="V95">
        <v>2.52</v>
      </c>
      <c r="W95">
        <v>2.52</v>
      </c>
      <c r="X95">
        <v>2.52</v>
      </c>
      <c r="Y95">
        <v>2.52</v>
      </c>
      <c r="Z95">
        <v>2.52</v>
      </c>
    </row>
    <row r="96" spans="1:26" ht="12.75">
      <c r="A96">
        <v>0.16</v>
      </c>
      <c r="B96">
        <v>-3</v>
      </c>
      <c r="D96">
        <v>9</v>
      </c>
      <c r="E96" t="e">
        <f>#VALUE!</f>
        <v>#VALUE!</v>
      </c>
      <c r="F96" t="e">
        <f>#VALUE!</f>
        <v>#VALUE!</v>
      </c>
      <c r="G96" t="e">
        <f>#VALUE!</f>
        <v>#VALUE!</v>
      </c>
      <c r="H96" t="e">
        <f>#VALUE!</f>
        <v>#VALUE!</v>
      </c>
      <c r="I96" t="e">
        <f>#VALUE!</f>
        <v>#VALUE!</v>
      </c>
      <c r="J96" t="e">
        <f>#VALUE!</f>
        <v>#VALUE!</v>
      </c>
      <c r="K96" t="e">
        <f>#VALUE!</f>
        <v>#VALUE!</v>
      </c>
      <c r="L96" t="e">
        <f>#VALUE!</f>
        <v>#VALUE!</v>
      </c>
      <c r="M96">
        <v>0.0072</v>
      </c>
      <c r="N96">
        <v>0.0049</v>
      </c>
      <c r="O96">
        <v>0.0049</v>
      </c>
      <c r="P96">
        <v>0.0049</v>
      </c>
      <c r="Q96">
        <v>0.0049</v>
      </c>
      <c r="R96">
        <v>0.0049</v>
      </c>
      <c r="S96">
        <v>0.0049</v>
      </c>
      <c r="T96">
        <v>0.0049</v>
      </c>
      <c r="U96">
        <v>0.0049</v>
      </c>
      <c r="V96">
        <v>0.0049</v>
      </c>
      <c r="W96">
        <v>0.0049</v>
      </c>
      <c r="X96">
        <v>0.0049</v>
      </c>
      <c r="Y96">
        <v>0.0049</v>
      </c>
      <c r="Z96">
        <v>0.0049</v>
      </c>
    </row>
    <row r="97" spans="1:26" ht="12.75">
      <c r="A97">
        <v>0.6</v>
      </c>
      <c r="B97">
        <v>-2</v>
      </c>
      <c r="D97">
        <v>10</v>
      </c>
      <c r="E97" t="e">
        <f>#VALUE!</f>
        <v>#VALUE!</v>
      </c>
      <c r="F97" t="e">
        <f>#VALUE!</f>
        <v>#VALUE!</v>
      </c>
      <c r="G97" t="e">
        <f>#VALUE!</f>
        <v>#VALUE!</v>
      </c>
      <c r="H97" t="e">
        <f>#VALUE!</f>
        <v>#VALUE!</v>
      </c>
      <c r="I97" t="e">
        <f>#VALUE!</f>
        <v>#VALUE!</v>
      </c>
      <c r="J97" t="e">
        <f>#VALUE!</f>
        <v>#VALUE!</v>
      </c>
      <c r="K97" t="e">
        <f>#VALUE!</f>
        <v>#VALUE!</v>
      </c>
      <c r="L97">
        <v>0.0002</v>
      </c>
      <c r="M97">
        <v>0.0002</v>
      </c>
      <c r="N97">
        <v>0.0002</v>
      </c>
      <c r="O97">
        <v>0.0002</v>
      </c>
      <c r="P97">
        <v>0.0002</v>
      </c>
      <c r="Q97">
        <v>0.0002</v>
      </c>
      <c r="R97">
        <v>0.0002</v>
      </c>
      <c r="S97">
        <v>0.0002</v>
      </c>
      <c r="T97">
        <v>0.0002</v>
      </c>
      <c r="U97">
        <v>0.0002</v>
      </c>
      <c r="V97">
        <v>0.0002</v>
      </c>
      <c r="W97">
        <v>0.0002</v>
      </c>
      <c r="X97">
        <v>0.0002</v>
      </c>
      <c r="Y97">
        <v>0.0002</v>
      </c>
      <c r="Z97">
        <v>0.0002</v>
      </c>
    </row>
    <row r="98" spans="1:26" ht="12.75">
      <c r="A98">
        <v>1.1</v>
      </c>
      <c r="B98">
        <v>-1</v>
      </c>
      <c r="D98">
        <v>11</v>
      </c>
      <c r="E98" t="e">
        <f>#VALUE!</f>
        <v>#VALUE!</v>
      </c>
      <c r="F98" t="e">
        <f>#VALUE!</f>
        <v>#VALUE!</v>
      </c>
      <c r="G98" t="e">
        <f>#VALUE!</f>
        <v>#VALUE!</v>
      </c>
      <c r="H98" t="e">
        <f>#VALUE!</f>
        <v>#VALUE!</v>
      </c>
      <c r="I98" t="e">
        <f>#VALUE!</f>
        <v>#VALUE!</v>
      </c>
      <c r="J98" t="e">
        <f>#VALUE!</f>
        <v>#VALUE!</v>
      </c>
      <c r="K98" t="e">
        <f>#VALUE!</f>
        <v>#VALUE!</v>
      </c>
      <c r="L98" t="e">
        <f>#VALUE!</f>
        <v>#VALUE!</v>
      </c>
      <c r="M98" t="e">
        <f>#VALUE!</f>
        <v>#VALUE!</v>
      </c>
      <c r="N98">
        <v>0.0005</v>
      </c>
      <c r="O98">
        <v>0.0005</v>
      </c>
      <c r="P98">
        <v>0.0005</v>
      </c>
      <c r="Q98">
        <v>0.0005</v>
      </c>
      <c r="R98">
        <v>0.0005</v>
      </c>
      <c r="S98">
        <v>0.0005</v>
      </c>
      <c r="T98">
        <v>0.0005</v>
      </c>
      <c r="U98">
        <v>0.0005</v>
      </c>
      <c r="V98">
        <v>0.0005</v>
      </c>
      <c r="W98">
        <v>0.0005</v>
      </c>
      <c r="X98">
        <v>0.0005</v>
      </c>
      <c r="Y98">
        <v>0.0005</v>
      </c>
      <c r="Z98">
        <v>0.0005</v>
      </c>
    </row>
    <row r="99" spans="1:26" ht="12.75">
      <c r="A99">
        <v>3</v>
      </c>
      <c r="B99">
        <v>0</v>
      </c>
      <c r="D99">
        <v>12</v>
      </c>
      <c r="E99" t="e">
        <f>#VALUE!</f>
        <v>#VALUE!</v>
      </c>
      <c r="F99" t="e">
        <f>#VALUE!</f>
        <v>#VALUE!</v>
      </c>
      <c r="G99" t="e">
        <f>#VALUE!</f>
        <v>#VALUE!</v>
      </c>
      <c r="H99" t="e">
        <f>#VALUE!</f>
        <v>#VALUE!</v>
      </c>
      <c r="I99" t="e">
        <f>#VALUE!</f>
        <v>#VALUE!</v>
      </c>
      <c r="J99" t="e">
        <f>#VALUE!</f>
        <v>#VALUE!</v>
      </c>
      <c r="K99" t="e">
        <f>#VALUE!</f>
        <v>#VALUE!</v>
      </c>
      <c r="L99" t="e">
        <f>#VALUE!</f>
        <v>#VALUE!</v>
      </c>
      <c r="M99" t="e">
        <f>#VALUE!</f>
        <v>#VALUE!</v>
      </c>
      <c r="N99">
        <v>0.005</v>
      </c>
      <c r="O99">
        <v>0.005</v>
      </c>
      <c r="P99">
        <v>0.005</v>
      </c>
      <c r="Q99">
        <v>0.005</v>
      </c>
      <c r="R99">
        <v>0.005</v>
      </c>
      <c r="S99">
        <v>0.005</v>
      </c>
      <c r="T99">
        <v>0.005</v>
      </c>
      <c r="U99">
        <v>0.005</v>
      </c>
      <c r="V99">
        <v>0.005</v>
      </c>
      <c r="W99">
        <v>0.005</v>
      </c>
      <c r="X99">
        <v>0.005</v>
      </c>
      <c r="Y99">
        <v>0.005</v>
      </c>
      <c r="Z99">
        <v>0.005</v>
      </c>
    </row>
    <row r="100" spans="1:26" ht="12.75">
      <c r="A100">
        <v>11</v>
      </c>
      <c r="B100">
        <v>1</v>
      </c>
      <c r="D100">
        <v>13</v>
      </c>
      <c r="E100" t="e">
        <f>#VALUE!</f>
        <v>#VALUE!</v>
      </c>
      <c r="F100" t="e">
        <f>#VALUE!</f>
        <v>#VALUE!</v>
      </c>
      <c r="G100" t="e">
        <f>#VALUE!</f>
        <v>#VALUE!</v>
      </c>
      <c r="H100" t="e">
        <f>#VALUE!</f>
        <v>#VALUE!</v>
      </c>
      <c r="I100" t="e">
        <f>#VALUE!</f>
        <v>#VALUE!</v>
      </c>
      <c r="J100" t="e">
        <f>#VALUE!</f>
        <v>#VALUE!</v>
      </c>
      <c r="K100" t="e">
        <f>#VALUE!</f>
        <v>#VALUE!</v>
      </c>
      <c r="L100" t="e">
        <f>#VALUE!</f>
        <v>#VALUE!</v>
      </c>
      <c r="M100" t="e">
        <f>#VALUE!</f>
        <v>#VALUE!</v>
      </c>
      <c r="N100" t="e">
        <f>#VALUE!</f>
        <v>#VALUE!</v>
      </c>
      <c r="O100">
        <v>0.034</v>
      </c>
      <c r="P100">
        <v>0.034</v>
      </c>
      <c r="Q100">
        <v>0.034</v>
      </c>
      <c r="R100">
        <v>0.034</v>
      </c>
      <c r="S100">
        <v>0.034</v>
      </c>
      <c r="T100">
        <v>0.034</v>
      </c>
      <c r="U100">
        <v>0.034</v>
      </c>
      <c r="V100">
        <v>0.034</v>
      </c>
      <c r="W100">
        <v>0.034</v>
      </c>
      <c r="X100">
        <v>0.034</v>
      </c>
      <c r="Y100">
        <v>0.034</v>
      </c>
      <c r="Z100">
        <v>0.034</v>
      </c>
    </row>
    <row r="101" spans="1:2" ht="12.75">
      <c r="A101">
        <v>31</v>
      </c>
      <c r="B101">
        <v>2</v>
      </c>
    </row>
    <row r="102" spans="1:26" ht="12.75">
      <c r="A102">
        <v>101</v>
      </c>
      <c r="B102">
        <v>3</v>
      </c>
      <c r="D102" s="278" t="s">
        <v>1350</v>
      </c>
      <c r="E102">
        <v>0</v>
      </c>
      <c r="F102">
        <v>1</v>
      </c>
      <c r="G102">
        <v>2</v>
      </c>
      <c r="H102">
        <v>3</v>
      </c>
      <c r="I102">
        <v>4</v>
      </c>
      <c r="J102">
        <v>5</v>
      </c>
      <c r="K102">
        <v>6</v>
      </c>
      <c r="L102">
        <v>7</v>
      </c>
      <c r="M102">
        <v>8</v>
      </c>
      <c r="N102">
        <v>9</v>
      </c>
      <c r="O102">
        <v>10</v>
      </c>
      <c r="P102">
        <v>11</v>
      </c>
      <c r="Q102">
        <v>12</v>
      </c>
      <c r="R102">
        <v>13</v>
      </c>
      <c r="S102">
        <v>14</v>
      </c>
      <c r="T102">
        <v>15</v>
      </c>
      <c r="U102">
        <v>16</v>
      </c>
      <c r="V102">
        <v>17</v>
      </c>
      <c r="W102">
        <v>18</v>
      </c>
      <c r="X102">
        <v>19</v>
      </c>
      <c r="Y102">
        <v>20</v>
      </c>
      <c r="Z102">
        <v>21</v>
      </c>
    </row>
    <row r="103" spans="1:26" ht="12.75">
      <c r="A103">
        <v>301</v>
      </c>
      <c r="B103">
        <v>4</v>
      </c>
      <c r="D103">
        <v>0</v>
      </c>
      <c r="E103" t="e">
        <f>#VALUE!</f>
        <v>#VALUE!</v>
      </c>
      <c r="F103" t="e">
        <f>#VALUE!</f>
        <v>#VALUE!</v>
      </c>
      <c r="G103">
        <v>0.25</v>
      </c>
      <c r="H103">
        <v>0.25</v>
      </c>
      <c r="I103">
        <v>0.15</v>
      </c>
      <c r="J103">
        <v>0.15</v>
      </c>
      <c r="K103">
        <v>0.1</v>
      </c>
      <c r="L103">
        <v>0.05</v>
      </c>
      <c r="M103">
        <v>0.04</v>
      </c>
      <c r="N103">
        <v>0.04</v>
      </c>
      <c r="O103">
        <v>0.04</v>
      </c>
      <c r="P103">
        <v>0.04</v>
      </c>
      <c r="Q103">
        <v>0.04</v>
      </c>
      <c r="R103">
        <v>0.04</v>
      </c>
      <c r="S103">
        <v>0.04</v>
      </c>
      <c r="T103">
        <v>0.04</v>
      </c>
      <c r="U103">
        <v>0.04</v>
      </c>
      <c r="V103">
        <v>0.04</v>
      </c>
      <c r="W103">
        <v>0.04</v>
      </c>
      <c r="X103">
        <v>0.04</v>
      </c>
      <c r="Y103">
        <v>0.04</v>
      </c>
      <c r="Z103">
        <v>0.04</v>
      </c>
    </row>
    <row r="104" spans="1:26" ht="12.75">
      <c r="A104">
        <v>1001</v>
      </c>
      <c r="B104">
        <v>5</v>
      </c>
      <c r="D104">
        <v>1</v>
      </c>
      <c r="E104" t="e">
        <f>#VALUE!</f>
        <v>#VALUE!</v>
      </c>
      <c r="F104" t="e">
        <f>#VALUE!</f>
        <v>#VALUE!</v>
      </c>
      <c r="G104" t="e">
        <f>#VALUE!</f>
        <v>#VALUE!</v>
      </c>
      <c r="H104" t="e">
        <f>#VALUE!</f>
        <v>#VALUE!</v>
      </c>
      <c r="I104" t="e">
        <f>#VALUE!</f>
        <v>#VALUE!</v>
      </c>
      <c r="J104" t="e">
        <f>#VALUE!</f>
        <v>#VALUE!</v>
      </c>
      <c r="K104">
        <v>0.1</v>
      </c>
      <c r="L104">
        <v>0.05</v>
      </c>
      <c r="M104">
        <v>0.05</v>
      </c>
      <c r="N104">
        <v>0.05</v>
      </c>
      <c r="O104">
        <v>0.05</v>
      </c>
      <c r="P104">
        <v>0.05</v>
      </c>
      <c r="Q104">
        <v>0.05</v>
      </c>
      <c r="R104">
        <v>0.05</v>
      </c>
      <c r="S104">
        <v>0.05</v>
      </c>
      <c r="T104">
        <v>0.05</v>
      </c>
      <c r="U104">
        <v>0.05</v>
      </c>
      <c r="V104">
        <v>0.05</v>
      </c>
      <c r="W104">
        <v>0.05</v>
      </c>
      <c r="X104">
        <v>0.05</v>
      </c>
      <c r="Y104">
        <v>0.05</v>
      </c>
      <c r="Z104">
        <v>0.05</v>
      </c>
    </row>
    <row r="105" spans="1:26" ht="12.75">
      <c r="A105">
        <v>3001</v>
      </c>
      <c r="B105">
        <v>6</v>
      </c>
      <c r="D105">
        <v>2</v>
      </c>
      <c r="E105" t="e">
        <f>#VALUE!</f>
        <v>#VALUE!</v>
      </c>
      <c r="F105" t="e">
        <f>#VALUE!</f>
        <v>#VALUE!</v>
      </c>
      <c r="G105" t="e">
        <f>#VALUE!</f>
        <v>#VALUE!</v>
      </c>
      <c r="H105" t="e">
        <f>#VALUE!</f>
        <v>#VALUE!</v>
      </c>
      <c r="I105" t="e">
        <f>#VALUE!</f>
        <v>#VALUE!</v>
      </c>
      <c r="J105">
        <v>2</v>
      </c>
      <c r="K105">
        <v>1.3</v>
      </c>
      <c r="L105">
        <v>0.67</v>
      </c>
      <c r="M105">
        <v>0.83</v>
      </c>
      <c r="N105">
        <v>0.83</v>
      </c>
      <c r="O105">
        <v>0.83</v>
      </c>
      <c r="P105">
        <v>0.83</v>
      </c>
      <c r="Q105">
        <v>0.83</v>
      </c>
      <c r="R105">
        <v>0.83</v>
      </c>
      <c r="S105">
        <v>0.83</v>
      </c>
      <c r="T105">
        <v>0.83</v>
      </c>
      <c r="U105">
        <v>0.83</v>
      </c>
      <c r="V105">
        <v>0.83</v>
      </c>
      <c r="W105">
        <v>0.83</v>
      </c>
      <c r="X105">
        <v>0.83</v>
      </c>
      <c r="Y105">
        <v>0.83</v>
      </c>
      <c r="Z105">
        <v>0.83</v>
      </c>
    </row>
    <row r="106" spans="1:26" ht="12.75">
      <c r="A106">
        <v>10001</v>
      </c>
      <c r="B106">
        <v>7</v>
      </c>
      <c r="D106">
        <v>3</v>
      </c>
      <c r="E106" t="e">
        <f>#VALUE!</f>
        <v>#VALUE!</v>
      </c>
      <c r="F106" t="e">
        <f>#VALUE!</f>
        <v>#VALUE!</v>
      </c>
      <c r="G106" t="e">
        <f>#VALUE!</f>
        <v>#VALUE!</v>
      </c>
      <c r="H106" t="e">
        <f>#VALUE!</f>
        <v>#VALUE!</v>
      </c>
      <c r="I106" t="e">
        <f>#VALUE!</f>
        <v>#VALUE!</v>
      </c>
      <c r="J106" t="e">
        <f>#VALUE!</f>
        <v>#VALUE!</v>
      </c>
      <c r="K106">
        <v>1.3</v>
      </c>
      <c r="L106">
        <v>0.53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</row>
    <row r="107" spans="1:26" ht="12.75">
      <c r="A107">
        <v>30001</v>
      </c>
      <c r="B107">
        <v>8</v>
      </c>
      <c r="D107">
        <v>4</v>
      </c>
      <c r="E107" t="e">
        <f>#VALUE!</f>
        <v>#VALUE!</v>
      </c>
      <c r="F107" t="e">
        <f>#VALUE!</f>
        <v>#VALUE!</v>
      </c>
      <c r="G107" t="e">
        <f>#VALUE!</f>
        <v>#VALUE!</v>
      </c>
      <c r="H107" t="e">
        <f>#VALUE!</f>
        <v>#VALUE!</v>
      </c>
      <c r="I107" t="e">
        <f>#VALUE!</f>
        <v>#VALUE!</v>
      </c>
      <c r="J107" t="e">
        <f>#VALUE!</f>
        <v>#VALUE!</v>
      </c>
      <c r="K107">
        <v>1.5</v>
      </c>
      <c r="L107">
        <v>1.2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</row>
    <row r="108" spans="1:26" ht="12.75">
      <c r="A108">
        <v>100001</v>
      </c>
      <c r="B108">
        <v>9</v>
      </c>
      <c r="D108">
        <v>5</v>
      </c>
      <c r="E108" t="e">
        <f>#VALUE!</f>
        <v>#VALUE!</v>
      </c>
      <c r="F108" t="e">
        <f>#VALUE!</f>
        <v>#VALUE!</v>
      </c>
      <c r="G108" t="e">
        <f>#VALUE!</f>
        <v>#VALUE!</v>
      </c>
      <c r="H108" t="e">
        <f>#VALUE!</f>
        <v>#VALUE!</v>
      </c>
      <c r="I108" t="e">
        <f>#VALUE!</f>
        <v>#VALUE!</v>
      </c>
      <c r="J108" t="e">
        <f>#VALUE!</f>
        <v>#VALUE!</v>
      </c>
      <c r="K108" t="e">
        <f>#VALUE!</f>
        <v>#VALUE!</v>
      </c>
      <c r="L108">
        <v>2</v>
      </c>
      <c r="M108">
        <v>2.67</v>
      </c>
      <c r="N108">
        <v>2.67</v>
      </c>
      <c r="O108">
        <v>2.67</v>
      </c>
      <c r="P108">
        <v>2.67</v>
      </c>
      <c r="Q108">
        <v>2.67</v>
      </c>
      <c r="R108">
        <v>2.67</v>
      </c>
      <c r="S108">
        <v>2.67</v>
      </c>
      <c r="T108">
        <v>2.67</v>
      </c>
      <c r="U108">
        <v>2.67</v>
      </c>
      <c r="V108">
        <v>2.67</v>
      </c>
      <c r="W108">
        <v>2.67</v>
      </c>
      <c r="X108">
        <v>2.67</v>
      </c>
      <c r="Y108">
        <v>2.67</v>
      </c>
      <c r="Z108">
        <v>2.67</v>
      </c>
    </row>
    <row r="109" spans="1:26" ht="12.75">
      <c r="A109">
        <v>300001</v>
      </c>
      <c r="B109">
        <v>10</v>
      </c>
      <c r="D109">
        <v>6</v>
      </c>
      <c r="E109" t="e">
        <f>#VALUE!</f>
        <v>#VALUE!</v>
      </c>
      <c r="F109" t="e">
        <f>#VALUE!</f>
        <v>#VALUE!</v>
      </c>
      <c r="G109" t="e">
        <f>#VALUE!</f>
        <v>#VALUE!</v>
      </c>
      <c r="H109" t="e">
        <f>#VALUE!</f>
        <v>#VALUE!</v>
      </c>
      <c r="I109" t="e">
        <f>#VALUE!</f>
        <v>#VALUE!</v>
      </c>
      <c r="J109" t="e">
        <f>#VALUE!</f>
        <v>#VALUE!</v>
      </c>
      <c r="K109" t="e">
        <f>#VALUE!</f>
        <v>#VALUE!</v>
      </c>
      <c r="L109">
        <v>8</v>
      </c>
      <c r="M109">
        <v>10</v>
      </c>
      <c r="N109">
        <v>10</v>
      </c>
      <c r="O109">
        <v>10</v>
      </c>
      <c r="P109">
        <v>10</v>
      </c>
      <c r="Q109">
        <v>10</v>
      </c>
      <c r="R109">
        <v>10</v>
      </c>
      <c r="S109">
        <v>10</v>
      </c>
      <c r="T109">
        <v>10</v>
      </c>
      <c r="U109">
        <v>10</v>
      </c>
      <c r="V109">
        <v>10</v>
      </c>
      <c r="W109">
        <v>10</v>
      </c>
      <c r="X109">
        <v>10</v>
      </c>
      <c r="Y109">
        <v>10</v>
      </c>
      <c r="Z109">
        <v>10</v>
      </c>
    </row>
    <row r="110" spans="4:26" ht="12.75">
      <c r="D110">
        <v>7</v>
      </c>
      <c r="E110" t="e">
        <f>#VALUE!</f>
        <v>#VALUE!</v>
      </c>
      <c r="F110" t="e">
        <f>#VALUE!</f>
        <v>#VALUE!</v>
      </c>
      <c r="G110" t="e">
        <f>#VALUE!</f>
        <v>#VALUE!</v>
      </c>
      <c r="H110" t="e">
        <f>#VALUE!</f>
        <v>#VALUE!</v>
      </c>
      <c r="I110" t="e">
        <f>#VALUE!</f>
        <v>#VALUE!</v>
      </c>
      <c r="J110" t="e">
        <f>#VALUE!</f>
        <v>#VALUE!</v>
      </c>
      <c r="K110" t="e">
        <f>#VALUE!</f>
        <v>#VALUE!</v>
      </c>
      <c r="L110" t="e">
        <f>#VALUE!</f>
        <v>#VALUE!</v>
      </c>
      <c r="M110">
        <v>12</v>
      </c>
      <c r="N110">
        <v>12</v>
      </c>
      <c r="O110">
        <v>12</v>
      </c>
      <c r="P110">
        <v>12</v>
      </c>
      <c r="Q110">
        <v>12</v>
      </c>
      <c r="R110">
        <v>12</v>
      </c>
      <c r="S110">
        <v>12</v>
      </c>
      <c r="T110">
        <v>12</v>
      </c>
      <c r="U110">
        <v>12</v>
      </c>
      <c r="V110">
        <v>12</v>
      </c>
      <c r="W110">
        <v>12</v>
      </c>
      <c r="X110">
        <v>12</v>
      </c>
      <c r="Y110">
        <v>12</v>
      </c>
      <c r="Z110">
        <v>12</v>
      </c>
    </row>
    <row r="111" spans="1:26" ht="12.75">
      <c r="A111" s="278" t="s">
        <v>1351</v>
      </c>
      <c r="D111">
        <v>8</v>
      </c>
      <c r="E111" t="e">
        <f>#VALUE!</f>
        <v>#VALUE!</v>
      </c>
      <c r="F111" t="e">
        <f>#VALUE!</f>
        <v>#VALUE!</v>
      </c>
      <c r="G111" t="e">
        <f>#VALUE!</f>
        <v>#VALUE!</v>
      </c>
      <c r="H111" t="e">
        <f>#VALUE!</f>
        <v>#VALUE!</v>
      </c>
      <c r="I111" t="e">
        <f>#VALUE!</f>
        <v>#VALUE!</v>
      </c>
      <c r="J111" t="e">
        <f>#VALUE!</f>
        <v>#VALUE!</v>
      </c>
      <c r="K111" t="e">
        <f>#VALUE!</f>
        <v>#VALUE!</v>
      </c>
      <c r="L111" t="e">
        <f>#VALUE!</f>
        <v>#VALUE!</v>
      </c>
      <c r="M111" t="e">
        <f>#VALUE!</f>
        <v>#VALUE!</v>
      </c>
      <c r="N111">
        <v>16.67</v>
      </c>
      <c r="O111">
        <v>16.67</v>
      </c>
      <c r="P111">
        <v>16.67</v>
      </c>
      <c r="Q111">
        <v>16.67</v>
      </c>
      <c r="R111">
        <v>16.67</v>
      </c>
      <c r="S111">
        <v>16.67</v>
      </c>
      <c r="T111">
        <v>16.67</v>
      </c>
      <c r="U111">
        <v>16.67</v>
      </c>
      <c r="V111">
        <v>16.67</v>
      </c>
      <c r="W111">
        <v>16.67</v>
      </c>
      <c r="X111">
        <v>16.67</v>
      </c>
      <c r="Y111">
        <v>16.67</v>
      </c>
      <c r="Z111">
        <v>16.67</v>
      </c>
    </row>
    <row r="112" spans="1:26" ht="12.75">
      <c r="A112">
        <v>-1000000</v>
      </c>
      <c r="B112">
        <v>0</v>
      </c>
      <c r="D112">
        <v>9</v>
      </c>
      <c r="E112" t="e">
        <f>#VALUE!</f>
        <v>#VALUE!</v>
      </c>
      <c r="F112" t="e">
        <f>#VALUE!</f>
        <v>#VALUE!</v>
      </c>
      <c r="G112" t="e">
        <f>#VALUE!</f>
        <v>#VALUE!</v>
      </c>
      <c r="H112" t="e">
        <f>#VALUE!</f>
        <v>#VALUE!</v>
      </c>
      <c r="I112" t="e">
        <f>#VALUE!</f>
        <v>#VALUE!</v>
      </c>
      <c r="J112" t="e">
        <f>#VALUE!</f>
        <v>#VALUE!</v>
      </c>
      <c r="K112" t="e">
        <f>#VALUE!</f>
        <v>#VALUE!</v>
      </c>
      <c r="L112" t="e">
        <f>#VALUE!</f>
        <v>#VALUE!</v>
      </c>
      <c r="M112">
        <v>3.5</v>
      </c>
      <c r="N112">
        <v>0.35</v>
      </c>
      <c r="O112">
        <v>0.35</v>
      </c>
      <c r="P112">
        <v>0.35</v>
      </c>
      <c r="Q112">
        <v>0.35</v>
      </c>
      <c r="R112">
        <v>0.35</v>
      </c>
      <c r="S112">
        <v>0.35</v>
      </c>
      <c r="T112">
        <v>0.35</v>
      </c>
      <c r="U112">
        <v>0.35</v>
      </c>
      <c r="V112">
        <v>0.35</v>
      </c>
      <c r="W112">
        <v>0.35</v>
      </c>
      <c r="X112">
        <v>0.35</v>
      </c>
      <c r="Y112">
        <v>0.35</v>
      </c>
      <c r="Z112">
        <v>0.35</v>
      </c>
    </row>
    <row r="113" spans="1:26" ht="12.75">
      <c r="A113">
        <v>1</v>
      </c>
      <c r="B113">
        <v>0</v>
      </c>
      <c r="D113">
        <v>10</v>
      </c>
      <c r="E113" t="e">
        <f>#VALUE!</f>
        <v>#VALUE!</v>
      </c>
      <c r="F113" t="e">
        <f>#VALUE!</f>
        <v>#VALUE!</v>
      </c>
      <c r="G113" t="e">
        <f>#VALUE!</f>
        <v>#VALUE!</v>
      </c>
      <c r="H113" t="e">
        <f>#VALUE!</f>
        <v>#VALUE!</v>
      </c>
      <c r="I113" t="e">
        <f>#VALUE!</f>
        <v>#VALUE!</v>
      </c>
      <c r="J113" t="e">
        <f>#VALUE!</f>
        <v>#VALUE!</v>
      </c>
      <c r="K113" t="e">
        <f>#VALUE!</f>
        <v>#VALUE!</v>
      </c>
      <c r="L113">
        <v>0.04</v>
      </c>
      <c r="M113">
        <v>0.04</v>
      </c>
      <c r="N113">
        <v>0.04</v>
      </c>
      <c r="O113">
        <v>0.04</v>
      </c>
      <c r="P113">
        <v>0.04</v>
      </c>
      <c r="Q113">
        <v>0.04</v>
      </c>
      <c r="R113">
        <v>0.04</v>
      </c>
      <c r="S113">
        <v>0.04</v>
      </c>
      <c r="T113">
        <v>0.04</v>
      </c>
      <c r="U113">
        <v>0.04</v>
      </c>
      <c r="V113">
        <v>0.04</v>
      </c>
      <c r="W113">
        <v>0.04</v>
      </c>
      <c r="X113">
        <v>0.04</v>
      </c>
      <c r="Y113">
        <v>0.04</v>
      </c>
      <c r="Z113">
        <v>0.04</v>
      </c>
    </row>
    <row r="114" spans="1:26" ht="12.75">
      <c r="A114">
        <v>2</v>
      </c>
      <c r="B114">
        <v>1</v>
      </c>
      <c r="D114">
        <v>11</v>
      </c>
      <c r="E114" t="e">
        <f>#VALUE!</f>
        <v>#VALUE!</v>
      </c>
      <c r="F114" t="e">
        <f>#VALUE!</f>
        <v>#VALUE!</v>
      </c>
      <c r="G114" t="e">
        <f>#VALUE!</f>
        <v>#VALUE!</v>
      </c>
      <c r="H114" t="e">
        <f>#VALUE!</f>
        <v>#VALUE!</v>
      </c>
      <c r="I114" t="e">
        <f>#VALUE!</f>
        <v>#VALUE!</v>
      </c>
      <c r="J114" t="e">
        <f>#VALUE!</f>
        <v>#VALUE!</v>
      </c>
      <c r="K114" t="e">
        <f>#VALUE!</f>
        <v>#VALUE!</v>
      </c>
      <c r="L114" t="e">
        <f>#VALUE!</f>
        <v>#VALUE!</v>
      </c>
      <c r="M114" t="e">
        <f>#VALUE!</f>
        <v>#VALUE!</v>
      </c>
      <c r="N114">
        <v>0.5</v>
      </c>
      <c r="O114">
        <v>0.5</v>
      </c>
      <c r="P114">
        <v>0.5</v>
      </c>
      <c r="Q114">
        <v>0.5</v>
      </c>
      <c r="R114">
        <v>0.5</v>
      </c>
      <c r="S114">
        <v>0.5</v>
      </c>
      <c r="T114">
        <v>0.5</v>
      </c>
      <c r="U114">
        <v>0.5</v>
      </c>
      <c r="V114">
        <v>0.5</v>
      </c>
      <c r="W114">
        <v>0.5</v>
      </c>
      <c r="X114">
        <v>0.5</v>
      </c>
      <c r="Y114">
        <v>0.5</v>
      </c>
      <c r="Z114">
        <v>0.5</v>
      </c>
    </row>
    <row r="115" spans="1:26" ht="12.75">
      <c r="A115">
        <v>3</v>
      </c>
      <c r="B115">
        <v>2</v>
      </c>
      <c r="D115">
        <v>12</v>
      </c>
      <c r="E115" t="e">
        <f>#VALUE!</f>
        <v>#VALUE!</v>
      </c>
      <c r="F115" t="e">
        <f>#VALUE!</f>
        <v>#VALUE!</v>
      </c>
      <c r="G115" t="e">
        <f>#VALUE!</f>
        <v>#VALUE!</v>
      </c>
      <c r="H115" t="e">
        <f>#VALUE!</f>
        <v>#VALUE!</v>
      </c>
      <c r="I115" t="e">
        <f>#VALUE!</f>
        <v>#VALUE!</v>
      </c>
      <c r="J115" t="e">
        <f>#VALUE!</f>
        <v>#VALUE!</v>
      </c>
      <c r="K115" t="e">
        <f>#VALUE!</f>
        <v>#VALUE!</v>
      </c>
      <c r="L115" t="e">
        <f>#VALUE!</f>
        <v>#VALUE!</v>
      </c>
      <c r="M115" t="e">
        <f>#VALUE!</f>
        <v>#VALUE!</v>
      </c>
      <c r="N115">
        <v>0.85</v>
      </c>
      <c r="O115">
        <v>0.85</v>
      </c>
      <c r="P115">
        <v>0.85</v>
      </c>
      <c r="Q115">
        <v>0.85</v>
      </c>
      <c r="R115">
        <v>0.85</v>
      </c>
      <c r="S115">
        <v>0.85</v>
      </c>
      <c r="T115">
        <v>0.85</v>
      </c>
      <c r="U115">
        <v>0.85</v>
      </c>
      <c r="V115">
        <v>0.85</v>
      </c>
      <c r="W115">
        <v>0.85</v>
      </c>
      <c r="X115">
        <v>0.85</v>
      </c>
      <c r="Y115">
        <v>0.85</v>
      </c>
      <c r="Z115">
        <v>0.85</v>
      </c>
    </row>
    <row r="116" spans="1:26" ht="12.75">
      <c r="A116">
        <v>5</v>
      </c>
      <c r="B116">
        <v>3</v>
      </c>
      <c r="D116">
        <v>13</v>
      </c>
      <c r="E116" t="e">
        <f>#VALUE!</f>
        <v>#VALUE!</v>
      </c>
      <c r="F116" t="e">
        <f>#VALUE!</f>
        <v>#VALUE!</v>
      </c>
      <c r="G116" t="e">
        <f>#VALUE!</f>
        <v>#VALUE!</v>
      </c>
      <c r="H116" t="e">
        <f>#VALUE!</f>
        <v>#VALUE!</v>
      </c>
      <c r="I116" t="e">
        <f>#VALUE!</f>
        <v>#VALUE!</v>
      </c>
      <c r="J116" t="e">
        <f>#VALUE!</f>
        <v>#VALUE!</v>
      </c>
      <c r="K116" t="e">
        <f>#VALUE!</f>
        <v>#VALUE!</v>
      </c>
      <c r="L116" t="e">
        <f>#VALUE!</f>
        <v>#VALUE!</v>
      </c>
      <c r="M116" t="e">
        <f>#VALUE!</f>
        <v>#VALUE!</v>
      </c>
      <c r="N116" t="e">
        <f>#VALUE!</f>
        <v>#VALUE!</v>
      </c>
      <c r="O116" t="e">
        <f>#VALUE!</f>
        <v>#VALUE!</v>
      </c>
      <c r="P116">
        <v>0.8</v>
      </c>
      <c r="Q116">
        <v>0.8</v>
      </c>
      <c r="R116">
        <v>0.8</v>
      </c>
      <c r="S116">
        <v>0.8</v>
      </c>
      <c r="T116">
        <v>0.8</v>
      </c>
      <c r="U116">
        <v>0.8</v>
      </c>
      <c r="V116">
        <v>0.8</v>
      </c>
      <c r="W116">
        <v>0.8</v>
      </c>
      <c r="X116">
        <v>0.8</v>
      </c>
      <c r="Y116">
        <v>0.8</v>
      </c>
      <c r="Z116">
        <v>0.8</v>
      </c>
    </row>
    <row r="117" spans="1:2" ht="12.75">
      <c r="A117">
        <v>7</v>
      </c>
      <c r="B117">
        <v>4</v>
      </c>
    </row>
    <row r="118" spans="1:26" ht="12.75">
      <c r="A118">
        <v>10</v>
      </c>
      <c r="B118">
        <v>5</v>
      </c>
      <c r="D118" s="14" t="s">
        <v>1352</v>
      </c>
      <c r="E118">
        <v>0</v>
      </c>
      <c r="F118">
        <v>1</v>
      </c>
      <c r="G118">
        <v>2</v>
      </c>
      <c r="H118">
        <v>3</v>
      </c>
      <c r="I118">
        <v>4</v>
      </c>
      <c r="J118">
        <v>5</v>
      </c>
      <c r="K118">
        <v>6</v>
      </c>
      <c r="L118">
        <v>7</v>
      </c>
      <c r="M118">
        <v>8</v>
      </c>
      <c r="N118">
        <v>9</v>
      </c>
      <c r="O118">
        <v>10</v>
      </c>
      <c r="P118">
        <v>11</v>
      </c>
      <c r="Q118">
        <v>12</v>
      </c>
      <c r="R118">
        <v>13</v>
      </c>
      <c r="S118">
        <v>14</v>
      </c>
      <c r="T118">
        <v>15</v>
      </c>
      <c r="U118">
        <v>16</v>
      </c>
      <c r="V118">
        <v>17</v>
      </c>
      <c r="W118">
        <v>18</v>
      </c>
      <c r="X118">
        <v>19</v>
      </c>
      <c r="Y118">
        <v>20</v>
      </c>
      <c r="Z118">
        <v>21</v>
      </c>
    </row>
    <row r="119" spans="1:26" ht="12.75">
      <c r="A119">
        <v>14</v>
      </c>
      <c r="B119">
        <v>6</v>
      </c>
      <c r="D119">
        <v>0</v>
      </c>
      <c r="E119" t="e">
        <f>#VALUE!</f>
        <v>#VALUE!</v>
      </c>
      <c r="F119" t="e">
        <f>#VALUE!</f>
        <v>#VALUE!</v>
      </c>
      <c r="G119" t="e">
        <f>#VALUE!</f>
        <v>#VALUE!</v>
      </c>
      <c r="H119" t="e">
        <f>#VALUE!</f>
        <v>#VALUE!</v>
      </c>
      <c r="I119" t="e">
        <f>#VALUE!</f>
        <v>#VALUE!</v>
      </c>
      <c r="J119" t="e">
        <f>#VALUE!</f>
        <v>#VALUE!</v>
      </c>
      <c r="K119" t="e">
        <f>#VALUE!</f>
        <v>#VALUE!</v>
      </c>
      <c r="L119" t="e">
        <f>#VALUE!</f>
        <v>#VALUE!</v>
      </c>
      <c r="M119">
        <v>0.107</v>
      </c>
      <c r="N119">
        <v>0.054</v>
      </c>
      <c r="O119">
        <v>0.043</v>
      </c>
      <c r="P119">
        <v>0.043</v>
      </c>
      <c r="Q119">
        <v>0.032</v>
      </c>
      <c r="R119">
        <v>0.032</v>
      </c>
      <c r="S119">
        <v>0.021</v>
      </c>
      <c r="T119">
        <v>0.011</v>
      </c>
      <c r="U119">
        <v>0.011</v>
      </c>
      <c r="V119">
        <v>0.006</v>
      </c>
      <c r="W119">
        <v>0.006</v>
      </c>
      <c r="X119">
        <v>0.004</v>
      </c>
      <c r="Y119">
        <v>0.004</v>
      </c>
      <c r="Z119">
        <v>0.004</v>
      </c>
    </row>
    <row r="120" spans="1:26" ht="12.75">
      <c r="A120">
        <v>21</v>
      </c>
      <c r="B120">
        <v>7</v>
      </c>
      <c r="D120">
        <v>1</v>
      </c>
      <c r="E120" t="e">
        <f>#VALUE!</f>
        <v>#VALUE!</v>
      </c>
      <c r="F120" t="e">
        <f>#VALUE!</f>
        <v>#VALUE!</v>
      </c>
      <c r="G120" t="e">
        <f>#VALUE!</f>
        <v>#VALUE!</v>
      </c>
      <c r="H120" t="e">
        <f>#VALUE!</f>
        <v>#VALUE!</v>
      </c>
      <c r="I120" t="e">
        <f>#VALUE!</f>
        <v>#VALUE!</v>
      </c>
      <c r="J120" t="e">
        <f>#VALUE!</f>
        <v>#VALUE!</v>
      </c>
      <c r="K120" t="e">
        <f>#VALUE!</f>
        <v>#VALUE!</v>
      </c>
      <c r="L120" t="e">
        <f>#VALUE!</f>
        <v>#VALUE!</v>
      </c>
      <c r="M120">
        <v>0.215</v>
      </c>
      <c r="N120">
        <v>0.107</v>
      </c>
      <c r="O120">
        <v>0.085</v>
      </c>
      <c r="P120">
        <v>0.085</v>
      </c>
      <c r="Q120">
        <v>0.064</v>
      </c>
      <c r="R120">
        <v>0.064</v>
      </c>
      <c r="S120">
        <v>0.043</v>
      </c>
      <c r="T120">
        <v>0.021</v>
      </c>
      <c r="U120">
        <v>0.021</v>
      </c>
      <c r="V120">
        <v>0.011</v>
      </c>
      <c r="W120">
        <v>0.011</v>
      </c>
      <c r="X120">
        <v>0.006</v>
      </c>
      <c r="Y120">
        <v>0.006</v>
      </c>
      <c r="Z120">
        <v>0.006</v>
      </c>
    </row>
    <row r="121" spans="1:26" ht="12.75">
      <c r="A121">
        <v>31</v>
      </c>
      <c r="B121">
        <v>8</v>
      </c>
      <c r="D121">
        <v>2</v>
      </c>
      <c r="E121" t="e">
        <f>#VALUE!</f>
        <v>#VALUE!</v>
      </c>
      <c r="F121" t="e">
        <f>#VALUE!</f>
        <v>#VALUE!</v>
      </c>
      <c r="G121" t="e">
        <f>#VALUE!</f>
        <v>#VALUE!</v>
      </c>
      <c r="H121" t="e">
        <f>#VALUE!</f>
        <v>#VALUE!</v>
      </c>
      <c r="I121" t="e">
        <f>#VALUE!</f>
        <v>#VALUE!</v>
      </c>
      <c r="J121" t="e">
        <f>#VALUE!</f>
        <v>#VALUE!</v>
      </c>
      <c r="K121" t="e">
        <f>#VALUE!</f>
        <v>#VALUE!</v>
      </c>
      <c r="L121" t="e">
        <f>#VALUE!</f>
        <v>#VALUE!</v>
      </c>
      <c r="M121">
        <v>0.43</v>
      </c>
      <c r="N121">
        <v>0.215</v>
      </c>
      <c r="O121">
        <v>0.161</v>
      </c>
      <c r="P121">
        <v>0.161</v>
      </c>
      <c r="Q121">
        <v>0.129</v>
      </c>
      <c r="R121">
        <v>0.129</v>
      </c>
      <c r="S121">
        <v>0.085</v>
      </c>
      <c r="T121">
        <v>0.043</v>
      </c>
      <c r="U121">
        <v>0.043</v>
      </c>
      <c r="V121">
        <v>0.021</v>
      </c>
      <c r="W121">
        <v>0.021</v>
      </c>
      <c r="X121">
        <v>0.011</v>
      </c>
      <c r="Y121">
        <v>0.011</v>
      </c>
      <c r="Z121">
        <v>0.011</v>
      </c>
    </row>
    <row r="122" spans="1:26" ht="12.75">
      <c r="A122">
        <v>45</v>
      </c>
      <c r="B122">
        <v>9</v>
      </c>
      <c r="D122">
        <v>3</v>
      </c>
      <c r="E122" t="e">
        <f>#VALUE!</f>
        <v>#VALUE!</v>
      </c>
      <c r="F122" t="e">
        <f>#VALUE!</f>
        <v>#VALUE!</v>
      </c>
      <c r="G122" t="e">
        <f>#VALUE!</f>
        <v>#VALUE!</v>
      </c>
      <c r="H122" t="e">
        <f>#VALUE!</f>
        <v>#VALUE!</v>
      </c>
      <c r="I122" t="e">
        <f>#VALUE!</f>
        <v>#VALUE!</v>
      </c>
      <c r="J122" t="e">
        <f>#VALUE!</f>
        <v>#VALUE!</v>
      </c>
      <c r="K122" t="e">
        <f>#VALUE!</f>
        <v>#VALUE!</v>
      </c>
      <c r="L122" t="e">
        <f>#VALUE!</f>
        <v>#VALUE!</v>
      </c>
      <c r="M122">
        <v>0.852</v>
      </c>
      <c r="N122">
        <v>0.43</v>
      </c>
      <c r="O122">
        <v>0.307</v>
      </c>
      <c r="P122">
        <v>0.307</v>
      </c>
      <c r="Q122">
        <v>0.244</v>
      </c>
      <c r="R122">
        <v>0.244</v>
      </c>
      <c r="S122">
        <v>0.157</v>
      </c>
      <c r="T122">
        <v>0.085</v>
      </c>
      <c r="U122">
        <v>0.085</v>
      </c>
      <c r="V122">
        <v>0.043</v>
      </c>
      <c r="W122">
        <v>0.043</v>
      </c>
      <c r="X122">
        <v>0.021</v>
      </c>
      <c r="Y122">
        <v>0.021</v>
      </c>
      <c r="Z122">
        <v>0.021</v>
      </c>
    </row>
    <row r="123" spans="1:26" ht="12.75">
      <c r="A123">
        <v>66</v>
      </c>
      <c r="B123">
        <v>10</v>
      </c>
      <c r="D123">
        <v>4</v>
      </c>
      <c r="E123" t="e">
        <f>#VALUE!</f>
        <v>#VALUE!</v>
      </c>
      <c r="F123" t="e">
        <f>#VALUE!</f>
        <v>#VALUE!</v>
      </c>
      <c r="G123" t="e">
        <f>#VALUE!</f>
        <v>#VALUE!</v>
      </c>
      <c r="H123" t="e">
        <f>#VALUE!</f>
        <v>#VALUE!</v>
      </c>
      <c r="I123" t="e">
        <f>#VALUE!</f>
        <v>#VALUE!</v>
      </c>
      <c r="J123" t="e">
        <f>#VALUE!</f>
        <v>#VALUE!</v>
      </c>
      <c r="K123" t="e">
        <f>#VALUE!</f>
        <v>#VALUE!</v>
      </c>
      <c r="L123" t="e">
        <f>#VALUE!</f>
        <v>#VALUE!</v>
      </c>
      <c r="M123">
        <v>1.611</v>
      </c>
      <c r="N123">
        <v>0.852</v>
      </c>
      <c r="O123">
        <v>0.459</v>
      </c>
      <c r="P123">
        <v>0.459</v>
      </c>
      <c r="Q123">
        <v>0.352</v>
      </c>
      <c r="R123">
        <v>0.352</v>
      </c>
      <c r="S123">
        <v>0.267</v>
      </c>
      <c r="T123">
        <v>0.161</v>
      </c>
      <c r="U123">
        <v>0.161</v>
      </c>
      <c r="V123">
        <v>0.085</v>
      </c>
      <c r="W123">
        <v>0.085</v>
      </c>
      <c r="X123">
        <v>0.043</v>
      </c>
      <c r="Y123">
        <v>0.043</v>
      </c>
      <c r="Z123">
        <v>0.043</v>
      </c>
    </row>
    <row r="124" spans="1:26" ht="12.75">
      <c r="A124">
        <v>97</v>
      </c>
      <c r="B124">
        <v>11</v>
      </c>
      <c r="D124">
        <v>5</v>
      </c>
      <c r="E124" t="e">
        <f>#VALUE!</f>
        <v>#VALUE!</v>
      </c>
      <c r="F124" t="e">
        <f>#VALUE!</f>
        <v>#VALUE!</v>
      </c>
      <c r="G124" t="e">
        <f>#VALUE!</f>
        <v>#VALUE!</v>
      </c>
      <c r="H124" t="e">
        <f>#VALUE!</f>
        <v>#VALUE!</v>
      </c>
      <c r="I124" t="e">
        <f>#VALUE!</f>
        <v>#VALUE!</v>
      </c>
      <c r="J124" t="e">
        <f>#VALUE!</f>
        <v>#VALUE!</v>
      </c>
      <c r="K124" t="e">
        <f>#VALUE!</f>
        <v>#VALUE!</v>
      </c>
      <c r="L124" t="e">
        <f>#VALUE!</f>
        <v>#VALUE!</v>
      </c>
      <c r="M124">
        <v>5</v>
      </c>
      <c r="N124">
        <v>2.5</v>
      </c>
      <c r="O124">
        <v>2</v>
      </c>
      <c r="P124">
        <v>2</v>
      </c>
      <c r="Q124">
        <v>1.667</v>
      </c>
      <c r="R124">
        <v>1.667</v>
      </c>
      <c r="S124">
        <v>1</v>
      </c>
      <c r="T124">
        <v>0.5</v>
      </c>
      <c r="U124">
        <v>0.5</v>
      </c>
      <c r="V124">
        <v>0.25</v>
      </c>
      <c r="W124">
        <v>0.25</v>
      </c>
      <c r="X124">
        <v>0.127</v>
      </c>
      <c r="Y124">
        <v>0.127</v>
      </c>
      <c r="Z124">
        <v>0.127</v>
      </c>
    </row>
    <row r="125" spans="1:26" ht="12.75">
      <c r="A125">
        <v>143</v>
      </c>
      <c r="B125">
        <v>12</v>
      </c>
      <c r="D125">
        <v>6</v>
      </c>
      <c r="E125" t="e">
        <f>#VALUE!</f>
        <v>#VALUE!</v>
      </c>
      <c r="F125" t="e">
        <f>#VALUE!</f>
        <v>#VALUE!</v>
      </c>
      <c r="G125" t="e">
        <f>#VALUE!</f>
        <v>#VALUE!</v>
      </c>
      <c r="H125" t="e">
        <f>#VALUE!</f>
        <v>#VALUE!</v>
      </c>
      <c r="I125" t="e">
        <f>#VALUE!</f>
        <v>#VALUE!</v>
      </c>
      <c r="J125" t="e">
        <f>#VALUE!</f>
        <v>#VALUE!</v>
      </c>
      <c r="K125" t="e">
        <f>#VALUE!</f>
        <v>#VALUE!</v>
      </c>
      <c r="L125" t="e">
        <f>#VALUE!</f>
        <v>#VALUE!</v>
      </c>
      <c r="M125">
        <v>50</v>
      </c>
      <c r="N125">
        <v>25</v>
      </c>
      <c r="O125">
        <v>17.67</v>
      </c>
      <c r="P125">
        <v>17.67</v>
      </c>
      <c r="Q125">
        <v>16.67</v>
      </c>
      <c r="R125">
        <v>16.67</v>
      </c>
      <c r="S125">
        <v>10</v>
      </c>
      <c r="T125">
        <v>5</v>
      </c>
      <c r="U125">
        <v>5</v>
      </c>
      <c r="V125">
        <v>2.833</v>
      </c>
      <c r="W125">
        <v>2.833</v>
      </c>
      <c r="X125">
        <v>1.417</v>
      </c>
      <c r="Y125">
        <v>1.417</v>
      </c>
      <c r="Z125">
        <v>1.417</v>
      </c>
    </row>
    <row r="126" spans="1:2" ht="12.75">
      <c r="A126">
        <v>210</v>
      </c>
      <c r="B126">
        <v>13</v>
      </c>
    </row>
    <row r="127" spans="1:26" ht="12.75">
      <c r="A127">
        <v>308</v>
      </c>
      <c r="B127">
        <v>14</v>
      </c>
      <c r="D127" s="14" t="s">
        <v>1353</v>
      </c>
      <c r="E127">
        <v>0</v>
      </c>
      <c r="F127">
        <v>1</v>
      </c>
      <c r="G127">
        <v>2</v>
      </c>
      <c r="H127">
        <v>3</v>
      </c>
      <c r="I127">
        <v>4</v>
      </c>
      <c r="J127">
        <v>5</v>
      </c>
      <c r="K127">
        <v>6</v>
      </c>
      <c r="L127">
        <v>7</v>
      </c>
      <c r="M127">
        <v>8</v>
      </c>
      <c r="N127">
        <v>9</v>
      </c>
      <c r="O127">
        <v>10</v>
      </c>
      <c r="P127">
        <v>11</v>
      </c>
      <c r="Q127">
        <v>12</v>
      </c>
      <c r="R127">
        <v>13</v>
      </c>
      <c r="S127">
        <v>14</v>
      </c>
      <c r="T127">
        <v>15</v>
      </c>
      <c r="U127">
        <v>16</v>
      </c>
      <c r="V127">
        <v>17</v>
      </c>
      <c r="W127">
        <v>18</v>
      </c>
      <c r="X127">
        <v>19</v>
      </c>
      <c r="Y127">
        <v>20</v>
      </c>
      <c r="Z127">
        <v>21</v>
      </c>
    </row>
    <row r="128" spans="1:26" ht="12.75">
      <c r="A128">
        <v>452</v>
      </c>
      <c r="B128">
        <v>15</v>
      </c>
      <c r="D128">
        <v>0</v>
      </c>
      <c r="E128" t="e">
        <f>#VALUE!</f>
        <v>#VALUE!</v>
      </c>
      <c r="F128" t="e">
        <f>#VALUE!</f>
        <v>#VALUE!</v>
      </c>
      <c r="G128" t="e">
        <f>#VALUE!</f>
        <v>#VALUE!</v>
      </c>
      <c r="H128" t="e">
        <f>#VALUE!</f>
        <v>#VALUE!</v>
      </c>
      <c r="I128" t="e">
        <f>#VALUE!</f>
        <v>#VALUE!</v>
      </c>
      <c r="J128" t="e">
        <f>#VALUE!</f>
        <v>#VALUE!</v>
      </c>
      <c r="K128" t="e">
        <f>#VALUE!</f>
        <v>#VALUE!</v>
      </c>
      <c r="L128" t="e">
        <f>#VALUE!</f>
        <v>#VALUE!</v>
      </c>
      <c r="M128">
        <v>0.215</v>
      </c>
      <c r="N128">
        <v>0.107</v>
      </c>
      <c r="O128">
        <v>0.086</v>
      </c>
      <c r="P128">
        <v>0.086</v>
      </c>
      <c r="Q128">
        <v>0.067</v>
      </c>
      <c r="R128">
        <v>0.067</v>
      </c>
      <c r="S128">
        <v>0.043</v>
      </c>
      <c r="T128">
        <v>0.021</v>
      </c>
      <c r="U128">
        <v>0.021</v>
      </c>
      <c r="V128">
        <v>0.011</v>
      </c>
      <c r="W128">
        <v>0.011</v>
      </c>
      <c r="X128">
        <v>0.006</v>
      </c>
      <c r="Y128">
        <v>0.006</v>
      </c>
      <c r="Z128">
        <v>0.006</v>
      </c>
    </row>
    <row r="129" spans="1:26" ht="12.75">
      <c r="A129">
        <v>664</v>
      </c>
      <c r="B129">
        <v>16</v>
      </c>
      <c r="D129">
        <v>1</v>
      </c>
      <c r="E129" t="e">
        <f>#VALUE!</f>
        <v>#VALUE!</v>
      </c>
      <c r="F129" t="e">
        <f>#VALUE!</f>
        <v>#VALUE!</v>
      </c>
      <c r="G129" t="e">
        <f>#VALUE!</f>
        <v>#VALUE!</v>
      </c>
      <c r="H129" t="e">
        <f>#VALUE!</f>
        <v>#VALUE!</v>
      </c>
      <c r="I129" t="e">
        <f>#VALUE!</f>
        <v>#VALUE!</v>
      </c>
      <c r="J129" t="e">
        <f>#VALUE!</f>
        <v>#VALUE!</v>
      </c>
      <c r="K129" t="e">
        <f>#VALUE!</f>
        <v>#VALUE!</v>
      </c>
      <c r="L129" t="e">
        <f>#VALUE!</f>
        <v>#VALUE!</v>
      </c>
      <c r="M129">
        <v>0.43</v>
      </c>
      <c r="N129">
        <v>0.215</v>
      </c>
      <c r="O129">
        <v>0.17</v>
      </c>
      <c r="P129">
        <v>0.17</v>
      </c>
      <c r="Q129">
        <v>0.157</v>
      </c>
      <c r="R129">
        <v>0.157</v>
      </c>
      <c r="S129">
        <v>0.086</v>
      </c>
      <c r="T129">
        <v>0.043</v>
      </c>
      <c r="U129">
        <v>0.043</v>
      </c>
      <c r="V129">
        <v>0.021</v>
      </c>
      <c r="W129">
        <v>0.021</v>
      </c>
      <c r="X129">
        <v>0.011</v>
      </c>
      <c r="Y129">
        <v>0.011</v>
      </c>
      <c r="Z129">
        <v>0.011</v>
      </c>
    </row>
    <row r="130" spans="1:26" ht="12.75">
      <c r="A130">
        <v>974</v>
      </c>
      <c r="B130">
        <v>17</v>
      </c>
      <c r="D130">
        <v>2</v>
      </c>
      <c r="E130" t="e">
        <f>#VALUE!</f>
        <v>#VALUE!</v>
      </c>
      <c r="F130" t="e">
        <f>#VALUE!</f>
        <v>#VALUE!</v>
      </c>
      <c r="G130" t="e">
        <f>#VALUE!</f>
        <v>#VALUE!</v>
      </c>
      <c r="H130" t="e">
        <f>#VALUE!</f>
        <v>#VALUE!</v>
      </c>
      <c r="I130" t="e">
        <f>#VALUE!</f>
        <v>#VALUE!</v>
      </c>
      <c r="J130" t="e">
        <f>#VALUE!</f>
        <v>#VALUE!</v>
      </c>
      <c r="K130" t="e">
        <f>#VALUE!</f>
        <v>#VALUE!</v>
      </c>
      <c r="L130" t="e">
        <f>#VALUE!</f>
        <v>#VALUE!</v>
      </c>
      <c r="M130">
        <v>0.859</v>
      </c>
      <c r="N130">
        <v>0.43</v>
      </c>
      <c r="O130">
        <v>0.322</v>
      </c>
      <c r="P130">
        <v>0.322</v>
      </c>
      <c r="Q130">
        <v>0.258</v>
      </c>
      <c r="R130">
        <v>0.258</v>
      </c>
      <c r="S130">
        <v>0.17</v>
      </c>
      <c r="T130">
        <v>0.086</v>
      </c>
      <c r="U130">
        <v>0.086</v>
      </c>
      <c r="V130">
        <v>0.043</v>
      </c>
      <c r="W130">
        <v>0.043</v>
      </c>
      <c r="X130">
        <v>0.021</v>
      </c>
      <c r="Y130">
        <v>0.021</v>
      </c>
      <c r="Z130">
        <v>0.021</v>
      </c>
    </row>
    <row r="131" spans="1:26" ht="12.75">
      <c r="A131">
        <v>1430</v>
      </c>
      <c r="B131">
        <v>18</v>
      </c>
      <c r="D131">
        <v>3</v>
      </c>
      <c r="E131" t="e">
        <f>#VALUE!</f>
        <v>#VALUE!</v>
      </c>
      <c r="F131" t="e">
        <f>#VALUE!</f>
        <v>#VALUE!</v>
      </c>
      <c r="G131" t="e">
        <f>#VALUE!</f>
        <v>#VALUE!</v>
      </c>
      <c r="H131" t="e">
        <f>#VALUE!</f>
        <v>#VALUE!</v>
      </c>
      <c r="I131" t="e">
        <f>#VALUE!</f>
        <v>#VALUE!</v>
      </c>
      <c r="J131" t="e">
        <f>#VALUE!</f>
        <v>#VALUE!</v>
      </c>
      <c r="K131" t="e">
        <f>#VALUE!</f>
        <v>#VALUE!</v>
      </c>
      <c r="L131" t="e">
        <f>#VALUE!</f>
        <v>#VALUE!</v>
      </c>
      <c r="M131">
        <v>1.704</v>
      </c>
      <c r="N131">
        <v>0.859</v>
      </c>
      <c r="O131">
        <v>0.644</v>
      </c>
      <c r="P131">
        <v>0.644</v>
      </c>
      <c r="Q131">
        <v>0.519</v>
      </c>
      <c r="R131">
        <v>0.519</v>
      </c>
      <c r="S131">
        <v>0.322</v>
      </c>
      <c r="T131">
        <v>0.17</v>
      </c>
      <c r="U131">
        <v>0.17</v>
      </c>
      <c r="V131">
        <v>0.085</v>
      </c>
      <c r="W131">
        <v>0.085</v>
      </c>
      <c r="X131">
        <v>0.043</v>
      </c>
      <c r="Y131">
        <v>0.043</v>
      </c>
      <c r="Z131">
        <v>0.043</v>
      </c>
    </row>
    <row r="132" spans="1:26" ht="12.75">
      <c r="A132">
        <v>2099</v>
      </c>
      <c r="B132">
        <v>19</v>
      </c>
      <c r="D132">
        <v>4</v>
      </c>
      <c r="E132" t="e">
        <f>#VALUE!</f>
        <v>#VALUE!</v>
      </c>
      <c r="F132" t="e">
        <f>#VALUE!</f>
        <v>#VALUE!</v>
      </c>
      <c r="G132" t="e">
        <f>#VALUE!</f>
        <v>#VALUE!</v>
      </c>
      <c r="H132" t="e">
        <f>#VALUE!</f>
        <v>#VALUE!</v>
      </c>
      <c r="I132" t="e">
        <f>#VALUE!</f>
        <v>#VALUE!</v>
      </c>
      <c r="J132" t="e">
        <f>#VALUE!</f>
        <v>#VALUE!</v>
      </c>
      <c r="K132" t="e">
        <f>#VALUE!</f>
        <v>#VALUE!</v>
      </c>
      <c r="L132" t="e">
        <f>#VALUE!</f>
        <v>#VALUE!</v>
      </c>
      <c r="M132">
        <v>3.222</v>
      </c>
      <c r="N132">
        <v>1.704</v>
      </c>
      <c r="O132">
        <v>1.289</v>
      </c>
      <c r="P132">
        <v>1.289</v>
      </c>
      <c r="Q132">
        <v>1.074</v>
      </c>
      <c r="R132">
        <v>1.074</v>
      </c>
      <c r="S132">
        <v>0.644</v>
      </c>
      <c r="T132">
        <v>0.322</v>
      </c>
      <c r="U132">
        <v>0.322</v>
      </c>
      <c r="V132">
        <v>0.161</v>
      </c>
      <c r="W132">
        <v>0.161</v>
      </c>
      <c r="X132">
        <v>0.081</v>
      </c>
      <c r="Y132">
        <v>0.081</v>
      </c>
      <c r="Z132">
        <v>0.081</v>
      </c>
    </row>
    <row r="133" spans="1:26" ht="12.75">
      <c r="A133">
        <v>3081</v>
      </c>
      <c r="B133">
        <v>20</v>
      </c>
      <c r="D133">
        <v>5</v>
      </c>
      <c r="E133" t="e">
        <f>#VALUE!</f>
        <v>#VALUE!</v>
      </c>
      <c r="F133" t="e">
        <f>#VALUE!</f>
        <v>#VALUE!</v>
      </c>
      <c r="G133" t="e">
        <f>#VALUE!</f>
        <v>#VALUE!</v>
      </c>
      <c r="H133" t="e">
        <f>#VALUE!</f>
        <v>#VALUE!</v>
      </c>
      <c r="I133" t="e">
        <f>#VALUE!</f>
        <v>#VALUE!</v>
      </c>
      <c r="J133" t="e">
        <f>#VALUE!</f>
        <v>#VALUE!</v>
      </c>
      <c r="K133" t="e">
        <f>#VALUE!</f>
        <v>#VALUE!</v>
      </c>
      <c r="L133" t="e">
        <f>#VALUE!</f>
        <v>#VALUE!</v>
      </c>
      <c r="M133">
        <v>10</v>
      </c>
      <c r="N133">
        <v>5</v>
      </c>
      <c r="O133">
        <v>4</v>
      </c>
      <c r="P133">
        <v>4</v>
      </c>
      <c r="Q133">
        <v>3.333</v>
      </c>
      <c r="R133">
        <v>3.333</v>
      </c>
      <c r="S133">
        <v>2</v>
      </c>
      <c r="T133">
        <v>1</v>
      </c>
      <c r="U133">
        <v>1</v>
      </c>
      <c r="V133">
        <v>0.5</v>
      </c>
      <c r="W133">
        <v>0.5</v>
      </c>
      <c r="X133">
        <v>0.25</v>
      </c>
      <c r="Y133">
        <v>0.25</v>
      </c>
      <c r="Z133">
        <v>0.25</v>
      </c>
    </row>
    <row r="134" spans="1:26" ht="12.75">
      <c r="A134">
        <v>4522</v>
      </c>
      <c r="B134">
        <v>21</v>
      </c>
      <c r="D134">
        <v>6</v>
      </c>
      <c r="E134" t="e">
        <f>#VALUE!</f>
        <v>#VALUE!</v>
      </c>
      <c r="F134" t="e">
        <f>#VALUE!</f>
        <v>#VALUE!</v>
      </c>
      <c r="G134" t="e">
        <f>#VALUE!</f>
        <v>#VALUE!</v>
      </c>
      <c r="H134" t="e">
        <f>#VALUE!</f>
        <v>#VALUE!</v>
      </c>
      <c r="I134" t="e">
        <f>#VALUE!</f>
        <v>#VALUE!</v>
      </c>
      <c r="J134" t="e">
        <f>#VALUE!</f>
        <v>#VALUE!</v>
      </c>
      <c r="K134" t="e">
        <f>#VALUE!</f>
        <v>#VALUE!</v>
      </c>
      <c r="L134" t="e">
        <f>#VALUE!</f>
        <v>#VALUE!</v>
      </c>
      <c r="M134">
        <v>100</v>
      </c>
      <c r="N134">
        <v>50</v>
      </c>
      <c r="O134">
        <v>35.33</v>
      </c>
      <c r="P134">
        <v>35.33</v>
      </c>
      <c r="Q134">
        <v>33.33</v>
      </c>
      <c r="R134">
        <v>33.33</v>
      </c>
      <c r="S134">
        <v>20</v>
      </c>
      <c r="T134">
        <v>10</v>
      </c>
      <c r="U134">
        <v>10</v>
      </c>
      <c r="V134">
        <v>5</v>
      </c>
      <c r="W134">
        <v>5</v>
      </c>
      <c r="X134">
        <v>2.833</v>
      </c>
      <c r="Y134">
        <v>2.833</v>
      </c>
      <c r="Z134">
        <v>2.833</v>
      </c>
    </row>
    <row r="135" spans="1:2" ht="12.75">
      <c r="A135">
        <v>6637</v>
      </c>
      <c r="B135">
        <v>22</v>
      </c>
    </row>
    <row r="136" spans="1:27" ht="12.75">
      <c r="A136">
        <v>9742</v>
      </c>
      <c r="B136">
        <v>23</v>
      </c>
      <c r="D136" s="14" t="s">
        <v>1354</v>
      </c>
      <c r="E136">
        <v>0</v>
      </c>
      <c r="F136">
        <v>1</v>
      </c>
      <c r="G136">
        <v>2</v>
      </c>
      <c r="H136">
        <v>3</v>
      </c>
      <c r="I136">
        <v>4</v>
      </c>
      <c r="J136">
        <v>5</v>
      </c>
      <c r="K136">
        <v>6</v>
      </c>
      <c r="L136">
        <v>7</v>
      </c>
      <c r="M136">
        <v>8</v>
      </c>
      <c r="N136">
        <v>9</v>
      </c>
      <c r="O136">
        <v>10</v>
      </c>
      <c r="P136">
        <v>11</v>
      </c>
      <c r="Q136">
        <v>12</v>
      </c>
      <c r="R136">
        <v>13</v>
      </c>
      <c r="S136">
        <v>14</v>
      </c>
      <c r="T136">
        <v>15</v>
      </c>
      <c r="U136">
        <v>16</v>
      </c>
      <c r="V136">
        <v>17</v>
      </c>
      <c r="W136">
        <v>18</v>
      </c>
      <c r="X136">
        <v>19</v>
      </c>
      <c r="Y136">
        <v>20</v>
      </c>
      <c r="Z136">
        <v>21</v>
      </c>
      <c r="AA136" t="s">
        <v>1355</v>
      </c>
    </row>
    <row r="137" spans="1:27" ht="12.75">
      <c r="A137">
        <v>14309</v>
      </c>
      <c r="B137">
        <v>24</v>
      </c>
      <c r="D137">
        <v>0</v>
      </c>
      <c r="E137" t="e">
        <f>#VALUE!</f>
        <v>#VALUE!</v>
      </c>
      <c r="F137" t="e">
        <f>#VALUE!</f>
        <v>#VALUE!</v>
      </c>
      <c r="G137" t="e">
        <f>#VALUE!</f>
        <v>#VALUE!</v>
      </c>
      <c r="H137" t="e">
        <f>#VALUE!</f>
        <v>#VALUE!</v>
      </c>
      <c r="I137" t="e">
        <f>#VALUE!</f>
        <v>#VALUE!</v>
      </c>
      <c r="J137">
        <v>50</v>
      </c>
      <c r="K137">
        <v>1.973</v>
      </c>
      <c r="L137">
        <v>0.374</v>
      </c>
      <c r="M137">
        <v>0.122</v>
      </c>
      <c r="N137">
        <v>0.032</v>
      </c>
      <c r="O137">
        <v>0.018</v>
      </c>
      <c r="P137">
        <v>0.009</v>
      </c>
      <c r="Q137">
        <v>0.005</v>
      </c>
      <c r="R137">
        <v>0.005</v>
      </c>
      <c r="S137">
        <v>0.005</v>
      </c>
      <c r="T137">
        <v>0.005</v>
      </c>
      <c r="U137">
        <v>0.005</v>
      </c>
      <c r="V137">
        <v>0.005</v>
      </c>
      <c r="W137">
        <v>0.005</v>
      </c>
      <c r="X137">
        <v>0.005</v>
      </c>
      <c r="Y137">
        <v>0.005</v>
      </c>
      <c r="Z137">
        <v>0.005</v>
      </c>
      <c r="AA137">
        <v>1</v>
      </c>
    </row>
    <row r="138" spans="4:27" ht="12.75">
      <c r="D138">
        <v>1</v>
      </c>
      <c r="E138" t="e">
        <f>#VALUE!</f>
        <v>#VALUE!</v>
      </c>
      <c r="F138" t="e">
        <f>#VALUE!</f>
        <v>#VALUE!</v>
      </c>
      <c r="G138" t="e">
        <f>#VALUE!</f>
        <v>#VALUE!</v>
      </c>
      <c r="H138" t="e">
        <f>#VALUE!</f>
        <v>#VALUE!</v>
      </c>
      <c r="I138" t="e">
        <f>#VALUE!</f>
        <v>#VALUE!</v>
      </c>
      <c r="J138" t="e">
        <f>#VALUE!</f>
        <v>#VALUE!</v>
      </c>
      <c r="K138">
        <v>10</v>
      </c>
      <c r="L138">
        <v>1.893</v>
      </c>
      <c r="M138">
        <v>0.617</v>
      </c>
      <c r="N138">
        <v>0.164</v>
      </c>
      <c r="O138">
        <v>0.091</v>
      </c>
      <c r="P138">
        <v>0.045</v>
      </c>
      <c r="Q138">
        <v>0.02</v>
      </c>
      <c r="R138">
        <v>0.007</v>
      </c>
      <c r="S138">
        <v>0.005</v>
      </c>
      <c r="T138">
        <v>0.005</v>
      </c>
      <c r="U138">
        <v>0.005</v>
      </c>
      <c r="V138">
        <v>0.005</v>
      </c>
      <c r="W138">
        <v>0.005</v>
      </c>
      <c r="X138">
        <v>0.005</v>
      </c>
      <c r="Y138">
        <v>0.005</v>
      </c>
      <c r="Z138">
        <v>0.005</v>
      </c>
      <c r="AA138">
        <v>0.8</v>
      </c>
    </row>
    <row r="139" spans="1:27" ht="12.75">
      <c r="A139" t="s">
        <v>1356</v>
      </c>
      <c r="D139">
        <v>2</v>
      </c>
      <c r="E139" t="e">
        <f>#VALUE!</f>
        <v>#VALUE!</v>
      </c>
      <c r="F139" t="e">
        <f>#VALUE!</f>
        <v>#VALUE!</v>
      </c>
      <c r="G139" t="e">
        <f>#VALUE!</f>
        <v>#VALUE!</v>
      </c>
      <c r="H139" t="e">
        <f>#VALUE!</f>
        <v>#VALUE!</v>
      </c>
      <c r="I139" t="e">
        <f>#VALUE!</f>
        <v>#VALUE!</v>
      </c>
      <c r="J139" t="e">
        <f>#VALUE!</f>
        <v>#VALUE!</v>
      </c>
      <c r="K139" t="e">
        <f>#VALUE!</f>
        <v>#VALUE!</v>
      </c>
      <c r="L139">
        <v>5</v>
      </c>
      <c r="M139">
        <v>1.63</v>
      </c>
      <c r="N139">
        <v>0.433</v>
      </c>
      <c r="O139">
        <v>0.241</v>
      </c>
      <c r="P139">
        <v>0.12</v>
      </c>
      <c r="Q139">
        <v>0.052</v>
      </c>
      <c r="R139">
        <v>0.019</v>
      </c>
      <c r="S139">
        <v>0.005</v>
      </c>
      <c r="T139">
        <v>0.005</v>
      </c>
      <c r="U139">
        <v>0.005</v>
      </c>
      <c r="V139">
        <v>0.005</v>
      </c>
      <c r="W139">
        <v>0.005</v>
      </c>
      <c r="X139">
        <v>0.005</v>
      </c>
      <c r="Y139">
        <v>0.005</v>
      </c>
      <c r="Z139">
        <v>0.005</v>
      </c>
      <c r="AA139">
        <v>0.7</v>
      </c>
    </row>
    <row r="140" spans="1:27" ht="12.75">
      <c r="A140">
        <v>1</v>
      </c>
      <c r="B140">
        <v>0</v>
      </c>
      <c r="D140">
        <v>3</v>
      </c>
      <c r="E140" t="e">
        <f>#VALUE!</f>
        <v>#VALUE!</v>
      </c>
      <c r="F140" t="e">
        <f>#VALUE!</f>
        <v>#VALUE!</v>
      </c>
      <c r="G140" t="e">
        <f>#VALUE!</f>
        <v>#VALUE!</v>
      </c>
      <c r="H140" t="e">
        <f>#VALUE!</f>
        <v>#VALUE!</v>
      </c>
      <c r="I140" t="e">
        <f>#VALUE!</f>
        <v>#VALUE!</v>
      </c>
      <c r="J140" t="e">
        <f>#VALUE!</f>
        <v>#VALUE!</v>
      </c>
      <c r="K140" t="e">
        <f>#VALUE!</f>
        <v>#VALUE!</v>
      </c>
      <c r="L140" t="e">
        <f>#VALUE!</f>
        <v>#VALUE!</v>
      </c>
      <c r="M140">
        <v>5</v>
      </c>
      <c r="N140">
        <v>1.328</v>
      </c>
      <c r="O140">
        <v>0.741</v>
      </c>
      <c r="P140">
        <v>0.367</v>
      </c>
      <c r="Q140">
        <v>0.159</v>
      </c>
      <c r="R140">
        <v>0.058</v>
      </c>
      <c r="S140">
        <v>0.0514</v>
      </c>
      <c r="T140">
        <v>0.005</v>
      </c>
      <c r="U140">
        <v>0.005</v>
      </c>
      <c r="V140">
        <v>0.005</v>
      </c>
      <c r="W140">
        <v>0.005</v>
      </c>
      <c r="X140">
        <v>0.005</v>
      </c>
      <c r="Y140">
        <v>0.005</v>
      </c>
      <c r="Z140">
        <v>0.005</v>
      </c>
      <c r="AA140">
        <v>0.6</v>
      </c>
    </row>
    <row r="141" spans="1:27" ht="12.75">
      <c r="A141">
        <v>2</v>
      </c>
      <c r="B141">
        <v>1</v>
      </c>
      <c r="D141">
        <v>4</v>
      </c>
      <c r="E141" t="e">
        <f>#VALUE!</f>
        <v>#VALUE!</v>
      </c>
      <c r="F141" t="e">
        <f>#VALUE!</f>
        <v>#VALUE!</v>
      </c>
      <c r="G141" t="e">
        <f>#VALUE!</f>
        <v>#VALUE!</v>
      </c>
      <c r="H141" t="e">
        <f>#VALUE!</f>
        <v>#VALUE!</v>
      </c>
      <c r="I141" t="e">
        <f>#VALUE!</f>
        <v>#VALUE!</v>
      </c>
      <c r="J141" t="e">
        <f>#VALUE!</f>
        <v>#VALUE!</v>
      </c>
      <c r="K141" t="e">
        <f>#VALUE!</f>
        <v>#VALUE!</v>
      </c>
      <c r="L141" t="e">
        <f>#VALUE!</f>
        <v>#VALUE!</v>
      </c>
      <c r="M141" t="e">
        <f>#VALUE!</f>
        <v>#VALUE!</v>
      </c>
      <c r="N141">
        <v>5</v>
      </c>
      <c r="O141">
        <v>2.789</v>
      </c>
      <c r="P141">
        <v>1.381</v>
      </c>
      <c r="Q141">
        <v>0.598</v>
      </c>
      <c r="R141">
        <v>0.219</v>
      </c>
      <c r="S141">
        <v>0.052</v>
      </c>
      <c r="T141">
        <v>0.009</v>
      </c>
      <c r="U141">
        <v>0.009</v>
      </c>
      <c r="V141">
        <v>0.009</v>
      </c>
      <c r="W141">
        <v>0.009</v>
      </c>
      <c r="X141">
        <v>0.009</v>
      </c>
      <c r="Y141">
        <v>0.009</v>
      </c>
      <c r="Z141">
        <v>0.009</v>
      </c>
      <c r="AA141">
        <v>0.5</v>
      </c>
    </row>
    <row r="142" spans="1:27" ht="12.75">
      <c r="A142">
        <v>4</v>
      </c>
      <c r="B142">
        <v>2</v>
      </c>
      <c r="D142">
        <v>5</v>
      </c>
      <c r="E142" t="e">
        <f>#VALUE!</f>
        <v>#VALUE!</v>
      </c>
      <c r="F142" t="e">
        <f>#VALUE!</f>
        <v>#VALUE!</v>
      </c>
      <c r="G142" t="e">
        <f>#VALUE!</f>
        <v>#VALUE!</v>
      </c>
      <c r="H142" t="e">
        <f>#VALUE!</f>
        <v>#VALUE!</v>
      </c>
      <c r="I142" t="e">
        <f>#VALUE!</f>
        <v>#VALUE!</v>
      </c>
      <c r="J142" t="e">
        <f>#VALUE!</f>
        <v>#VALUE!</v>
      </c>
      <c r="K142" t="e">
        <f>#VALUE!</f>
        <v>#VALUE!</v>
      </c>
      <c r="L142" t="e">
        <f>#VALUE!</f>
        <v>#VALUE!</v>
      </c>
      <c r="M142" t="e">
        <f>#VALUE!</f>
        <v>#VALUE!</v>
      </c>
      <c r="N142" t="e">
        <f>#VALUE!</f>
        <v>#VALUE!</v>
      </c>
      <c r="O142">
        <v>6</v>
      </c>
      <c r="P142">
        <v>2.972</v>
      </c>
      <c r="Q142">
        <v>1.286</v>
      </c>
      <c r="R142">
        <v>0.472</v>
      </c>
      <c r="S142">
        <v>0.111</v>
      </c>
      <c r="T142">
        <v>0.019</v>
      </c>
      <c r="U142">
        <v>0.019</v>
      </c>
      <c r="V142">
        <v>0.019</v>
      </c>
      <c r="W142">
        <v>0.019</v>
      </c>
      <c r="X142">
        <v>0.019</v>
      </c>
      <c r="Y142">
        <v>0.019</v>
      </c>
      <c r="Z142">
        <v>0.019</v>
      </c>
      <c r="AA142">
        <v>0.45</v>
      </c>
    </row>
    <row r="143" spans="1:27" ht="12.75">
      <c r="A143">
        <v>10</v>
      </c>
      <c r="B143">
        <v>3</v>
      </c>
      <c r="D143">
        <v>6</v>
      </c>
      <c r="E143" t="e">
        <f>#VALUE!</f>
        <v>#VALUE!</v>
      </c>
      <c r="F143" t="e">
        <f>#VALUE!</f>
        <v>#VALUE!</v>
      </c>
      <c r="G143" t="e">
        <f>#VALUE!</f>
        <v>#VALUE!</v>
      </c>
      <c r="H143" t="e">
        <f>#VALUE!</f>
        <v>#VALUE!</v>
      </c>
      <c r="I143" t="e">
        <f>#VALUE!</f>
        <v>#VALUE!</v>
      </c>
      <c r="J143" t="e">
        <f>#VALUE!</f>
        <v>#VALUE!</v>
      </c>
      <c r="K143" t="e">
        <f>#VALUE!</f>
        <v>#VALUE!</v>
      </c>
      <c r="L143" t="e">
        <f>#VALUE!</f>
        <v>#VALUE!</v>
      </c>
      <c r="M143" t="e">
        <f>#VALUE!</f>
        <v>#VALUE!</v>
      </c>
      <c r="N143" t="e">
        <f>#VALUE!</f>
        <v>#VALUE!</v>
      </c>
      <c r="O143" t="e">
        <f>#VALUE!</f>
        <v>#VALUE!</v>
      </c>
      <c r="P143">
        <v>7</v>
      </c>
      <c r="Q143">
        <v>3.029</v>
      </c>
      <c r="R143">
        <v>1.111</v>
      </c>
      <c r="S143">
        <v>0.262</v>
      </c>
      <c r="T143">
        <v>0.045</v>
      </c>
      <c r="U143">
        <v>0.045</v>
      </c>
      <c r="V143">
        <v>0.045</v>
      </c>
      <c r="W143">
        <v>0.045</v>
      </c>
      <c r="X143">
        <v>0.045</v>
      </c>
      <c r="Y143">
        <v>0.045</v>
      </c>
      <c r="Z143">
        <v>0.045</v>
      </c>
      <c r="AA143">
        <v>0.4</v>
      </c>
    </row>
    <row r="144" spans="1:27" ht="12.75">
      <c r="A144">
        <v>20</v>
      </c>
      <c r="B144">
        <v>4</v>
      </c>
      <c r="D144">
        <v>7</v>
      </c>
      <c r="E144" t="e">
        <f>#VALUE!</f>
        <v>#VALUE!</v>
      </c>
      <c r="F144" t="e">
        <f>#VALUE!</f>
        <v>#VALUE!</v>
      </c>
      <c r="G144" t="e">
        <f>#VALUE!</f>
        <v>#VALUE!</v>
      </c>
      <c r="H144" t="e">
        <f>#VALUE!</f>
        <v>#VALUE!</v>
      </c>
      <c r="I144" t="e">
        <f>#VALUE!</f>
        <v>#VALUE!</v>
      </c>
      <c r="J144" t="e">
        <f>#VALUE!</f>
        <v>#VALUE!</v>
      </c>
      <c r="K144" t="e">
        <f>#VALUE!</f>
        <v>#VALUE!</v>
      </c>
      <c r="L144" t="e">
        <f>#VALUE!</f>
        <v>#VALUE!</v>
      </c>
      <c r="M144" t="e">
        <f>#VALUE!</f>
        <v>#VALUE!</v>
      </c>
      <c r="N144" t="e">
        <f>#VALUE!</f>
        <v>#VALUE!</v>
      </c>
      <c r="O144" t="e">
        <f>#VALUE!</f>
        <v>#VALUE!</v>
      </c>
      <c r="P144" t="e">
        <f>#VALUE!</f>
        <v>#VALUE!</v>
      </c>
      <c r="Q144">
        <v>8</v>
      </c>
      <c r="R144">
        <v>2.933</v>
      </c>
      <c r="S144">
        <v>0.692</v>
      </c>
      <c r="T144">
        <v>0.12</v>
      </c>
      <c r="U144">
        <v>0.12</v>
      </c>
      <c r="V144">
        <v>0.12</v>
      </c>
      <c r="W144">
        <v>0.12</v>
      </c>
      <c r="X144">
        <v>0.12</v>
      </c>
      <c r="Y144">
        <v>0.12</v>
      </c>
      <c r="Z144">
        <v>0.12</v>
      </c>
      <c r="AA144">
        <v>0.35</v>
      </c>
    </row>
    <row r="145" spans="1:27" ht="12.75">
      <c r="A145">
        <v>40</v>
      </c>
      <c r="B145">
        <v>5</v>
      </c>
      <c r="D145">
        <v>8</v>
      </c>
      <c r="E145" t="e">
        <f>#VALUE!</f>
        <v>#VALUE!</v>
      </c>
      <c r="F145" t="e">
        <f>#VALUE!</f>
        <v>#VALUE!</v>
      </c>
      <c r="G145" t="e">
        <f>#VALUE!</f>
        <v>#VALUE!</v>
      </c>
      <c r="H145" t="e">
        <f>#VALUE!</f>
        <v>#VALUE!</v>
      </c>
      <c r="I145" t="e">
        <f>#VALUE!</f>
        <v>#VALUE!</v>
      </c>
      <c r="J145" t="e">
        <f>#VALUE!</f>
        <v>#VALUE!</v>
      </c>
      <c r="K145" t="e">
        <f>#VALUE!</f>
        <v>#VALUE!</v>
      </c>
      <c r="L145" t="e">
        <f>#VALUE!</f>
        <v>#VALUE!</v>
      </c>
      <c r="M145" t="e">
        <f>#VALUE!</f>
        <v>#VALUE!</v>
      </c>
      <c r="N145" t="e">
        <f>#VALUE!</f>
        <v>#VALUE!</v>
      </c>
      <c r="O145" t="e">
        <f>#VALUE!</f>
        <v>#VALUE!</v>
      </c>
      <c r="P145" t="e">
        <f>#VALUE!</f>
        <v>#VALUE!</v>
      </c>
      <c r="Q145" t="e">
        <f>#VALUE!</f>
        <v>#VALUE!</v>
      </c>
      <c r="R145">
        <v>9</v>
      </c>
      <c r="S145">
        <v>2.124</v>
      </c>
      <c r="T145">
        <v>0.367</v>
      </c>
      <c r="U145">
        <v>0.367</v>
      </c>
      <c r="V145">
        <v>0.367</v>
      </c>
      <c r="W145">
        <v>0.367</v>
      </c>
      <c r="X145">
        <v>0.367</v>
      </c>
      <c r="Y145">
        <v>0.367</v>
      </c>
      <c r="Z145">
        <v>0.367</v>
      </c>
      <c r="AA145">
        <v>0.3</v>
      </c>
    </row>
    <row r="146" spans="1:27" ht="12.75">
      <c r="A146">
        <v>80</v>
      </c>
      <c r="B146">
        <v>6</v>
      </c>
      <c r="D146">
        <v>9</v>
      </c>
      <c r="E146" t="e">
        <f>#VALUE!</f>
        <v>#VALUE!</v>
      </c>
      <c r="F146" t="e">
        <f>#VALUE!</f>
        <v>#VALUE!</v>
      </c>
      <c r="G146" t="e">
        <f>#VALUE!</f>
        <v>#VALUE!</v>
      </c>
      <c r="H146" t="e">
        <f>#VALUE!</f>
        <v>#VALUE!</v>
      </c>
      <c r="I146" t="e">
        <f>#VALUE!</f>
        <v>#VALUE!</v>
      </c>
      <c r="J146" t="e">
        <f>#VALUE!</f>
        <v>#VALUE!</v>
      </c>
      <c r="K146" t="e">
        <f>#VALUE!</f>
        <v>#VALUE!</v>
      </c>
      <c r="L146" t="e">
        <f>#VALUE!</f>
        <v>#VALUE!</v>
      </c>
      <c r="M146" t="e">
        <f>#VALUE!</f>
        <v>#VALUE!</v>
      </c>
      <c r="N146" t="e">
        <f>#VALUE!</f>
        <v>#VALUE!</v>
      </c>
      <c r="O146" t="e">
        <f>#VALUE!</f>
        <v>#VALUE!</v>
      </c>
      <c r="P146" t="e">
        <f>#VALUE!</f>
        <v>#VALUE!</v>
      </c>
      <c r="Q146" t="e">
        <f>#VALUE!</f>
        <v>#VALUE!</v>
      </c>
      <c r="R146" t="e">
        <f>#VALUE!</f>
        <v>#VALUE!</v>
      </c>
      <c r="S146">
        <v>8</v>
      </c>
      <c r="T146">
        <v>1.381</v>
      </c>
      <c r="U146">
        <v>1.381</v>
      </c>
      <c r="V146">
        <v>1.381</v>
      </c>
      <c r="W146">
        <v>1.381</v>
      </c>
      <c r="X146">
        <v>1.381</v>
      </c>
      <c r="Y146">
        <v>1.381</v>
      </c>
      <c r="Z146">
        <v>1.381</v>
      </c>
      <c r="AA146">
        <v>0.25</v>
      </c>
    </row>
    <row r="147" spans="1:27" ht="12.75">
      <c r="A147">
        <v>160</v>
      </c>
      <c r="B147">
        <v>7</v>
      </c>
      <c r="D147">
        <v>10</v>
      </c>
      <c r="E147" t="e">
        <f>#VALUE!</f>
        <v>#VALUE!</v>
      </c>
      <c r="F147" t="e">
        <f>#VALUE!</f>
        <v>#VALUE!</v>
      </c>
      <c r="G147" t="e">
        <f>#VALUE!</f>
        <v>#VALUE!</v>
      </c>
      <c r="H147" t="e">
        <f>#VALUE!</f>
        <v>#VALUE!</v>
      </c>
      <c r="I147" t="e">
        <f>#VALUE!</f>
        <v>#VALUE!</v>
      </c>
      <c r="J147" t="e">
        <f>#VALUE!</f>
        <v>#VALUE!</v>
      </c>
      <c r="K147" t="e">
        <f>#VALUE!</f>
        <v>#VALUE!</v>
      </c>
      <c r="L147" t="e">
        <f>#VALUE!</f>
        <v>#VALUE!</v>
      </c>
      <c r="M147" t="e">
        <f>#VALUE!</f>
        <v>#VALUE!</v>
      </c>
      <c r="N147" t="e">
        <f>#VALUE!</f>
        <v>#VALUE!</v>
      </c>
      <c r="O147" t="e">
        <f>#VALUE!</f>
        <v>#VALUE!</v>
      </c>
      <c r="P147" t="e">
        <f>#VALUE!</f>
        <v>#VALUE!</v>
      </c>
      <c r="Q147" t="e">
        <f>#VALUE!</f>
        <v>#VALUE!</v>
      </c>
      <c r="R147" t="e">
        <f>#VALUE!</f>
        <v>#VALUE!</v>
      </c>
      <c r="S147" t="e">
        <f>#VALUE!</f>
        <v>#VALUE!</v>
      </c>
      <c r="T147">
        <v>7</v>
      </c>
      <c r="U147">
        <v>7</v>
      </c>
      <c r="V147">
        <v>7</v>
      </c>
      <c r="W147">
        <v>7</v>
      </c>
      <c r="X147">
        <v>7</v>
      </c>
      <c r="Y147">
        <v>7</v>
      </c>
      <c r="Z147">
        <v>7</v>
      </c>
      <c r="AA147">
        <v>0.2</v>
      </c>
    </row>
    <row r="148" spans="1:5" ht="12.75">
      <c r="A148">
        <v>100000</v>
      </c>
      <c r="B148">
        <v>7</v>
      </c>
      <c r="D148" s="14" t="s">
        <v>1357</v>
      </c>
      <c r="E148">
        <f>IF(SUM(Design!E84:E86)=0,1,VLOOKUP(MAX(IF(Design!E84=0,-1,Design!F84),IF(Design!E85=0,-1,Design!F85),IF(Design!E86=0,-1,Design!F86)),$D$137:$AA$147,24)/CHOOSE((((Design!F87+1)-1)+1),1,3,5))</f>
        <v>0.3333333333333333</v>
      </c>
    </row>
    <row r="150" spans="1:26" ht="12.75">
      <c r="A150" t="s">
        <v>1358</v>
      </c>
      <c r="D150" s="14" t="s">
        <v>1359</v>
      </c>
      <c r="E150">
        <v>0</v>
      </c>
      <c r="F150">
        <v>1</v>
      </c>
      <c r="G150">
        <v>2</v>
      </c>
      <c r="H150">
        <v>3</v>
      </c>
      <c r="I150">
        <v>4</v>
      </c>
      <c r="J150">
        <v>5</v>
      </c>
      <c r="K150">
        <v>6</v>
      </c>
      <c r="L150">
        <v>7</v>
      </c>
      <c r="M150">
        <v>8</v>
      </c>
      <c r="N150">
        <v>9</v>
      </c>
      <c r="O150">
        <v>10</v>
      </c>
      <c r="P150">
        <v>11</v>
      </c>
      <c r="Q150">
        <v>12</v>
      </c>
      <c r="R150">
        <v>13</v>
      </c>
      <c r="S150">
        <v>14</v>
      </c>
      <c r="T150">
        <v>15</v>
      </c>
      <c r="U150">
        <v>16</v>
      </c>
      <c r="V150">
        <v>17</v>
      </c>
      <c r="W150">
        <v>18</v>
      </c>
      <c r="X150">
        <v>19</v>
      </c>
      <c r="Y150">
        <v>20</v>
      </c>
      <c r="Z150">
        <v>21</v>
      </c>
    </row>
    <row r="151" spans="1:26" ht="12.75">
      <c r="A151">
        <v>0</v>
      </c>
      <c r="B151">
        <v>-3</v>
      </c>
      <c r="D151">
        <v>0</v>
      </c>
      <c r="E151" t="e">
        <f>#VALUE!</f>
        <v>#VALUE!</v>
      </c>
      <c r="F151" t="e">
        <f>#VALUE!</f>
        <v>#VALUE!</v>
      </c>
      <c r="G151" t="e">
        <f>#VALUE!</f>
        <v>#VALUE!</v>
      </c>
      <c r="H151" t="e">
        <f>#VALUE!</f>
        <v>#VALUE!</v>
      </c>
      <c r="I151" t="e">
        <f>#VALUE!</f>
        <v>#VALUE!</v>
      </c>
      <c r="J151">
        <v>0.054</v>
      </c>
      <c r="K151">
        <v>0.013</v>
      </c>
      <c r="L151">
        <v>0.002</v>
      </c>
      <c r="M151">
        <v>0.0002</v>
      </c>
      <c r="N151">
        <v>0.0002</v>
      </c>
      <c r="O151">
        <v>0.0001</v>
      </c>
      <c r="P151">
        <v>0.0001</v>
      </c>
      <c r="Q151">
        <v>0.0001</v>
      </c>
      <c r="R151">
        <v>0.0001</v>
      </c>
      <c r="S151">
        <v>0.0001</v>
      </c>
      <c r="T151">
        <v>0.0001</v>
      </c>
      <c r="U151">
        <v>0.0001</v>
      </c>
      <c r="V151">
        <v>0.0001</v>
      </c>
      <c r="W151">
        <v>0.0001</v>
      </c>
      <c r="X151">
        <v>0.0001</v>
      </c>
      <c r="Y151">
        <v>0.0001</v>
      </c>
      <c r="Z151">
        <v>0.0001</v>
      </c>
    </row>
    <row r="152" spans="1:26" ht="12.75">
      <c r="A152">
        <v>10</v>
      </c>
      <c r="B152">
        <v>-2</v>
      </c>
      <c r="D152">
        <v>1</v>
      </c>
      <c r="E152" t="e">
        <f>#VALUE!</f>
        <v>#VALUE!</v>
      </c>
      <c r="F152" t="e">
        <f>#VALUE!</f>
        <v>#VALUE!</v>
      </c>
      <c r="G152" t="e">
        <f>#VALUE!</f>
        <v>#VALUE!</v>
      </c>
      <c r="H152" t="e">
        <f>#VALUE!</f>
        <v>#VALUE!</v>
      </c>
      <c r="I152" t="e">
        <f>#VALUE!</f>
        <v>#VALUE!</v>
      </c>
      <c r="J152">
        <v>0.104</v>
      </c>
      <c r="K152">
        <v>0.054</v>
      </c>
      <c r="L152">
        <v>0.013</v>
      </c>
      <c r="M152">
        <v>0.0017</v>
      </c>
      <c r="N152">
        <v>0.0017</v>
      </c>
      <c r="O152">
        <v>0.0002</v>
      </c>
      <c r="P152">
        <v>0.0002</v>
      </c>
      <c r="Q152">
        <v>0.0001</v>
      </c>
      <c r="R152">
        <v>0.0001</v>
      </c>
      <c r="S152">
        <v>0.0001</v>
      </c>
      <c r="T152">
        <v>0.0001</v>
      </c>
      <c r="U152">
        <v>0.0001</v>
      </c>
      <c r="V152">
        <v>0.0001</v>
      </c>
      <c r="W152">
        <v>0.0001</v>
      </c>
      <c r="X152">
        <v>0.0001</v>
      </c>
      <c r="Y152">
        <v>0.0001</v>
      </c>
      <c r="Z152">
        <v>0.0001</v>
      </c>
    </row>
    <row r="153" spans="1:26" ht="12.75">
      <c r="A153">
        <v>20</v>
      </c>
      <c r="B153">
        <v>-1</v>
      </c>
      <c r="D153">
        <v>2</v>
      </c>
      <c r="E153" t="e">
        <f>#VALUE!</f>
        <v>#VALUE!</v>
      </c>
      <c r="F153" t="e">
        <f>#VALUE!</f>
        <v>#VALUE!</v>
      </c>
      <c r="G153" t="e">
        <f>#VALUE!</f>
        <v>#VALUE!</v>
      </c>
      <c r="H153" t="e">
        <f>#VALUE!</f>
        <v>#VALUE!</v>
      </c>
      <c r="I153" t="e">
        <f>#VALUE!</f>
        <v>#VALUE!</v>
      </c>
      <c r="J153">
        <v>0.181</v>
      </c>
      <c r="K153">
        <v>0.104</v>
      </c>
      <c r="L153">
        <v>0.054</v>
      </c>
      <c r="M153">
        <v>0.013</v>
      </c>
      <c r="N153">
        <v>0.013</v>
      </c>
      <c r="O153">
        <v>0.0017</v>
      </c>
      <c r="P153">
        <v>0.0017</v>
      </c>
      <c r="Q153">
        <v>0.0002</v>
      </c>
      <c r="R153">
        <v>0.0002</v>
      </c>
      <c r="S153">
        <v>0.0002</v>
      </c>
      <c r="T153">
        <v>0.0001</v>
      </c>
      <c r="U153">
        <v>0.0001</v>
      </c>
      <c r="V153">
        <v>0.0001</v>
      </c>
      <c r="W153">
        <v>0.0001</v>
      </c>
      <c r="X153">
        <v>0.0001</v>
      </c>
      <c r="Y153">
        <v>0.0001</v>
      </c>
      <c r="Z153">
        <v>0.0001</v>
      </c>
    </row>
    <row r="154" spans="1:26" ht="12.75">
      <c r="A154">
        <v>50</v>
      </c>
      <c r="B154">
        <v>0</v>
      </c>
      <c r="D154">
        <v>3</v>
      </c>
      <c r="E154" t="e">
        <f>#VALUE!</f>
        <v>#VALUE!</v>
      </c>
      <c r="F154" t="e">
        <f>#VALUE!</f>
        <v>#VALUE!</v>
      </c>
      <c r="G154" t="e">
        <f>#VALUE!</f>
        <v>#VALUE!</v>
      </c>
      <c r="H154" t="e">
        <f>#VALUE!</f>
        <v>#VALUE!</v>
      </c>
      <c r="I154" t="e">
        <f>#VALUE!</f>
        <v>#VALUE!</v>
      </c>
      <c r="J154">
        <v>0.33</v>
      </c>
      <c r="K154">
        <v>0.161</v>
      </c>
      <c r="L154">
        <v>0.104</v>
      </c>
      <c r="M154">
        <v>0.0537</v>
      </c>
      <c r="N154">
        <v>0.0537</v>
      </c>
      <c r="O154">
        <v>0.013</v>
      </c>
      <c r="P154">
        <v>0.013</v>
      </c>
      <c r="Q154">
        <v>0.0017</v>
      </c>
      <c r="R154">
        <v>0.0017</v>
      </c>
      <c r="S154">
        <v>0.0017</v>
      </c>
      <c r="T154">
        <v>0.0002</v>
      </c>
      <c r="U154">
        <v>0.0002</v>
      </c>
      <c r="V154">
        <v>0.0002</v>
      </c>
      <c r="W154">
        <v>0.0001</v>
      </c>
      <c r="X154">
        <v>0.0001</v>
      </c>
      <c r="Y154">
        <v>0.0001</v>
      </c>
      <c r="Z154">
        <v>0.0001</v>
      </c>
    </row>
    <row r="155" spans="1:26" ht="12.75">
      <c r="A155">
        <v>100</v>
      </c>
      <c r="B155">
        <v>1</v>
      </c>
      <c r="D155">
        <v>4</v>
      </c>
      <c r="E155" t="e">
        <f>#VALUE!</f>
        <v>#VALUE!</v>
      </c>
      <c r="F155" t="e">
        <f>#VALUE!</f>
        <v>#VALUE!</v>
      </c>
      <c r="G155" t="e">
        <f>#VALUE!</f>
        <v>#VALUE!</v>
      </c>
      <c r="H155" t="e">
        <f>#VALUE!</f>
        <v>#VALUE!</v>
      </c>
      <c r="I155" t="e">
        <f>#VALUE!</f>
        <v>#VALUE!</v>
      </c>
      <c r="J155" t="e">
        <f>#VALUE!</f>
        <v>#VALUE!</v>
      </c>
      <c r="K155">
        <v>0.33</v>
      </c>
      <c r="L155">
        <v>0.161</v>
      </c>
      <c r="M155">
        <v>0.1037</v>
      </c>
      <c r="N155">
        <v>0.1037</v>
      </c>
      <c r="O155">
        <v>0.0537</v>
      </c>
      <c r="P155">
        <v>0.0537</v>
      </c>
      <c r="Q155">
        <v>0.013</v>
      </c>
      <c r="R155">
        <v>0.013</v>
      </c>
      <c r="S155">
        <v>0.013</v>
      </c>
      <c r="T155">
        <v>0.0017</v>
      </c>
      <c r="U155">
        <v>0.0017</v>
      </c>
      <c r="V155">
        <v>0.0017</v>
      </c>
      <c r="W155">
        <v>0.0002</v>
      </c>
      <c r="X155">
        <v>0.0002</v>
      </c>
      <c r="Y155">
        <v>0.0001</v>
      </c>
      <c r="Z155">
        <v>0.0001</v>
      </c>
    </row>
    <row r="156" spans="1:26" ht="12.75">
      <c r="A156">
        <v>200</v>
      </c>
      <c r="B156">
        <v>2</v>
      </c>
      <c r="D156">
        <v>5</v>
      </c>
      <c r="E156" t="e">
        <f>#VALUE!</f>
        <v>#VALUE!</v>
      </c>
      <c r="F156" t="e">
        <f>#VALUE!</f>
        <v>#VALUE!</v>
      </c>
      <c r="G156" t="e">
        <f>#VALUE!</f>
        <v>#VALUE!</v>
      </c>
      <c r="H156" t="e">
        <f>#VALUE!</f>
        <v>#VALUE!</v>
      </c>
      <c r="I156" t="e">
        <f>#VALUE!</f>
        <v>#VALUE!</v>
      </c>
      <c r="J156" t="e">
        <f>#VALUE!</f>
        <v>#VALUE!</v>
      </c>
      <c r="K156" t="e">
        <f>#VALUE!</f>
        <v>#VALUE!</v>
      </c>
      <c r="L156">
        <v>0.411</v>
      </c>
      <c r="M156">
        <v>0.187</v>
      </c>
      <c r="N156">
        <v>0.187</v>
      </c>
      <c r="O156">
        <v>0.137</v>
      </c>
      <c r="P156">
        <v>0.137</v>
      </c>
      <c r="Q156">
        <v>0.0796</v>
      </c>
      <c r="R156">
        <v>0.0796</v>
      </c>
      <c r="S156">
        <v>0.0796</v>
      </c>
      <c r="T156">
        <v>0.0167</v>
      </c>
      <c r="U156">
        <v>0.0167</v>
      </c>
      <c r="V156">
        <v>0.0167</v>
      </c>
      <c r="W156">
        <v>0.0017</v>
      </c>
      <c r="X156">
        <v>0.0017</v>
      </c>
      <c r="Y156">
        <v>0.0001</v>
      </c>
      <c r="Z156">
        <v>0.0001</v>
      </c>
    </row>
    <row r="157" spans="1:26" ht="12.75">
      <c r="A157">
        <v>400</v>
      </c>
      <c r="B157">
        <v>3</v>
      </c>
      <c r="D157">
        <v>6</v>
      </c>
      <c r="E157" t="e">
        <f>#VALUE!</f>
        <v>#VALUE!</v>
      </c>
      <c r="F157" t="e">
        <f>#VALUE!</f>
        <v>#VALUE!</v>
      </c>
      <c r="G157" t="e">
        <f>#VALUE!</f>
        <v>#VALUE!</v>
      </c>
      <c r="H157" t="e">
        <f>#VALUE!</f>
        <v>#VALUE!</v>
      </c>
      <c r="I157" t="e">
        <f>#VALUE!</f>
        <v>#VALUE!</v>
      </c>
      <c r="J157" t="e">
        <f>#VALUE!</f>
        <v>#VALUE!</v>
      </c>
      <c r="K157" t="e">
        <f>#VALUE!</f>
        <v>#VALUE!</v>
      </c>
      <c r="L157">
        <v>0.7</v>
      </c>
      <c r="M157">
        <v>0.3</v>
      </c>
      <c r="N157">
        <v>0.3</v>
      </c>
      <c r="O157">
        <v>0.15</v>
      </c>
      <c r="P157">
        <v>0.15</v>
      </c>
      <c r="Q157">
        <v>0.1</v>
      </c>
      <c r="R157">
        <v>0.1</v>
      </c>
      <c r="S157">
        <v>0.1</v>
      </c>
      <c r="T157">
        <v>0.05</v>
      </c>
      <c r="U157">
        <v>0.05</v>
      </c>
      <c r="V157">
        <v>0.05</v>
      </c>
      <c r="W157">
        <v>0.01</v>
      </c>
      <c r="X157">
        <v>0.01</v>
      </c>
      <c r="Y157">
        <v>0.001</v>
      </c>
      <c r="Z157">
        <v>0.001</v>
      </c>
    </row>
    <row r="158" spans="1:2" ht="12.75">
      <c r="A158">
        <v>800</v>
      </c>
      <c r="B158">
        <v>4</v>
      </c>
    </row>
    <row r="159" spans="4:26" ht="12.75">
      <c r="D159" s="14" t="s">
        <v>1360</v>
      </c>
      <c r="E159">
        <v>0</v>
      </c>
      <c r="F159">
        <v>1</v>
      </c>
      <c r="G159">
        <v>2</v>
      </c>
      <c r="H159">
        <v>3</v>
      </c>
      <c r="I159">
        <v>4</v>
      </c>
      <c r="J159">
        <v>5</v>
      </c>
      <c r="K159">
        <v>6</v>
      </c>
      <c r="L159">
        <v>7</v>
      </c>
      <c r="M159">
        <v>8</v>
      </c>
      <c r="N159">
        <v>9</v>
      </c>
      <c r="O159">
        <v>10</v>
      </c>
      <c r="P159">
        <v>11</v>
      </c>
      <c r="Q159">
        <v>12</v>
      </c>
      <c r="R159">
        <v>13</v>
      </c>
      <c r="S159">
        <v>14</v>
      </c>
      <c r="T159">
        <v>15</v>
      </c>
      <c r="U159">
        <v>16</v>
      </c>
      <c r="V159">
        <v>17</v>
      </c>
      <c r="W159">
        <v>18</v>
      </c>
      <c r="X159">
        <v>19</v>
      </c>
      <c r="Y159">
        <v>20</v>
      </c>
      <c r="Z159">
        <v>21</v>
      </c>
    </row>
    <row r="160" spans="4:26" ht="12.75">
      <c r="D160">
        <v>0</v>
      </c>
      <c r="E160" t="e">
        <f>#VALUE!</f>
        <v>#VALUE!</v>
      </c>
      <c r="F160" t="e">
        <f>#VALUE!</f>
        <v>#VALUE!</v>
      </c>
      <c r="G160" t="e">
        <f>#VALUE!</f>
        <v>#VALUE!</v>
      </c>
      <c r="H160" t="e">
        <f>#VALUE!</f>
        <v>#VALUE!</v>
      </c>
      <c r="I160" t="e">
        <f>#VALUE!</f>
        <v>#VALUE!</v>
      </c>
      <c r="J160" t="e">
        <f>#VALUE!</f>
        <v>#VALUE!</v>
      </c>
      <c r="K160" t="e">
        <f>#VALUE!</f>
        <v>#VALUE!</v>
      </c>
      <c r="L160" t="e">
        <f>#VALUE!</f>
        <v>#VALUE!</v>
      </c>
      <c r="M160">
        <v>0.005</v>
      </c>
      <c r="N160">
        <v>0.002</v>
      </c>
      <c r="O160">
        <v>0.001</v>
      </c>
      <c r="P160">
        <v>0.001</v>
      </c>
      <c r="Q160">
        <v>0.001</v>
      </c>
      <c r="R160">
        <v>0.001</v>
      </c>
      <c r="S160">
        <v>0.001</v>
      </c>
      <c r="T160">
        <v>0.001</v>
      </c>
      <c r="U160">
        <v>0.001</v>
      </c>
      <c r="V160">
        <v>0.001</v>
      </c>
      <c r="W160">
        <v>0.001</v>
      </c>
      <c r="X160">
        <v>0.001</v>
      </c>
      <c r="Y160">
        <v>0.001</v>
      </c>
      <c r="Z160">
        <v>0.001</v>
      </c>
    </row>
    <row r="161" spans="4:26" ht="12.75">
      <c r="D161">
        <v>1</v>
      </c>
      <c r="E161" t="e">
        <f>#VALUE!</f>
        <v>#VALUE!</v>
      </c>
      <c r="F161" t="e">
        <f>#VALUE!</f>
        <v>#VALUE!</v>
      </c>
      <c r="G161" t="e">
        <f>#VALUE!</f>
        <v>#VALUE!</v>
      </c>
      <c r="H161" t="e">
        <f>#VALUE!</f>
        <v>#VALUE!</v>
      </c>
      <c r="I161" t="e">
        <f>#VALUE!</f>
        <v>#VALUE!</v>
      </c>
      <c r="J161" t="e">
        <f>#VALUE!</f>
        <v>#VALUE!</v>
      </c>
      <c r="K161" t="e">
        <f>#VALUE!</f>
        <v>#VALUE!</v>
      </c>
      <c r="L161" t="e">
        <f>#VALUE!</f>
        <v>#VALUE!</v>
      </c>
      <c r="M161">
        <v>0.016</v>
      </c>
      <c r="N161">
        <v>0.008</v>
      </c>
      <c r="O161">
        <v>0.006</v>
      </c>
      <c r="P161">
        <v>0.006</v>
      </c>
      <c r="Q161">
        <v>0.004</v>
      </c>
      <c r="R161">
        <v>0.004</v>
      </c>
      <c r="S161">
        <v>0.004</v>
      </c>
      <c r="T161">
        <v>0.001</v>
      </c>
      <c r="U161">
        <v>0.001</v>
      </c>
      <c r="V161">
        <v>0.001</v>
      </c>
      <c r="W161">
        <v>0.001</v>
      </c>
      <c r="X161">
        <v>0.001</v>
      </c>
      <c r="Y161">
        <v>0.001</v>
      </c>
      <c r="Z161">
        <v>0.001</v>
      </c>
    </row>
    <row r="162" spans="4:26" ht="12.75">
      <c r="D162">
        <v>2</v>
      </c>
      <c r="E162" t="e">
        <f>#VALUE!</f>
        <v>#VALUE!</v>
      </c>
      <c r="F162" t="e">
        <f>#VALUE!</f>
        <v>#VALUE!</v>
      </c>
      <c r="G162" t="e">
        <f>#VALUE!</f>
        <v>#VALUE!</v>
      </c>
      <c r="H162" t="e">
        <f>#VALUE!</f>
        <v>#VALUE!</v>
      </c>
      <c r="I162" t="e">
        <f>#VALUE!</f>
        <v>#VALUE!</v>
      </c>
      <c r="J162" t="e">
        <f>#VALUE!</f>
        <v>#VALUE!</v>
      </c>
      <c r="K162" t="e">
        <f>#VALUE!</f>
        <v>#VALUE!</v>
      </c>
      <c r="L162" t="e">
        <f>#VALUE!</f>
        <v>#VALUE!</v>
      </c>
      <c r="M162">
        <v>0.021</v>
      </c>
      <c r="N162">
        <v>0.011</v>
      </c>
      <c r="O162">
        <v>0.009</v>
      </c>
      <c r="P162">
        <v>0.009</v>
      </c>
      <c r="Q162">
        <v>0.005</v>
      </c>
      <c r="R162">
        <v>0.005</v>
      </c>
      <c r="S162">
        <v>0.005</v>
      </c>
      <c r="T162">
        <v>0.002</v>
      </c>
      <c r="U162">
        <v>0.002</v>
      </c>
      <c r="V162">
        <v>0.002</v>
      </c>
      <c r="W162">
        <v>0.001</v>
      </c>
      <c r="X162">
        <v>0.001</v>
      </c>
      <c r="Y162">
        <v>0.001</v>
      </c>
      <c r="Z162">
        <v>0.001</v>
      </c>
    </row>
    <row r="163" spans="1:26" ht="12.75">
      <c r="A163" t="s">
        <v>1361</v>
      </c>
      <c r="D163">
        <v>3</v>
      </c>
      <c r="E163" t="e">
        <f>#VALUE!</f>
        <v>#VALUE!</v>
      </c>
      <c r="F163" t="e">
        <f>#VALUE!</f>
        <v>#VALUE!</v>
      </c>
      <c r="G163" t="e">
        <f>#VALUE!</f>
        <v>#VALUE!</v>
      </c>
      <c r="H163" t="e">
        <f>#VALUE!</f>
        <v>#VALUE!</v>
      </c>
      <c r="I163" t="e">
        <f>#VALUE!</f>
        <v>#VALUE!</v>
      </c>
      <c r="J163" t="e">
        <f>#VALUE!</f>
        <v>#VALUE!</v>
      </c>
      <c r="K163" t="e">
        <f>#VALUE!</f>
        <v>#VALUE!</v>
      </c>
      <c r="L163" t="e">
        <f>#VALUE!</f>
        <v>#VALUE!</v>
      </c>
      <c r="M163">
        <v>0.042</v>
      </c>
      <c r="N163">
        <v>0.021</v>
      </c>
      <c r="O163">
        <v>0.016</v>
      </c>
      <c r="P163">
        <v>0.016</v>
      </c>
      <c r="Q163">
        <v>0.011</v>
      </c>
      <c r="R163">
        <v>0.011</v>
      </c>
      <c r="S163">
        <v>0.011</v>
      </c>
      <c r="T163">
        <v>0.003</v>
      </c>
      <c r="U163">
        <v>0.003</v>
      </c>
      <c r="V163">
        <v>0.003</v>
      </c>
      <c r="W163">
        <v>0.001</v>
      </c>
      <c r="X163">
        <v>0.001</v>
      </c>
      <c r="Y163">
        <v>0.001</v>
      </c>
      <c r="Z163">
        <v>0.001</v>
      </c>
    </row>
    <row r="164" spans="1:26" ht="12.75">
      <c r="A164">
        <v>1</v>
      </c>
      <c r="B164">
        <v>1</v>
      </c>
      <c r="D164">
        <v>4</v>
      </c>
      <c r="E164" t="e">
        <f>#VALUE!</f>
        <v>#VALUE!</v>
      </c>
      <c r="F164" t="e">
        <f>#VALUE!</f>
        <v>#VALUE!</v>
      </c>
      <c r="G164" t="e">
        <f>#VALUE!</f>
        <v>#VALUE!</v>
      </c>
      <c r="H164" t="e">
        <f>#VALUE!</f>
        <v>#VALUE!</v>
      </c>
      <c r="I164" t="e">
        <f>#VALUE!</f>
        <v>#VALUE!</v>
      </c>
      <c r="J164" t="e">
        <f>#VALUE!</f>
        <v>#VALUE!</v>
      </c>
      <c r="K164" t="e">
        <f>#VALUE!</f>
        <v>#VALUE!</v>
      </c>
      <c r="L164" t="e">
        <f>#VALUE!</f>
        <v>#VALUE!</v>
      </c>
      <c r="M164">
        <v>0.073</v>
      </c>
      <c r="N164">
        <v>0.036</v>
      </c>
      <c r="O164">
        <v>0.026</v>
      </c>
      <c r="P164">
        <v>0.026</v>
      </c>
      <c r="Q164">
        <v>0.019</v>
      </c>
      <c r="R164">
        <v>0.019</v>
      </c>
      <c r="S164">
        <v>0.019</v>
      </c>
      <c r="T164">
        <v>0.005</v>
      </c>
      <c r="U164">
        <v>0.005</v>
      </c>
      <c r="V164">
        <v>0.005</v>
      </c>
      <c r="W164">
        <v>0.002</v>
      </c>
      <c r="X164">
        <v>0.002</v>
      </c>
      <c r="Y164">
        <v>0.001</v>
      </c>
      <c r="Z164">
        <v>0.001</v>
      </c>
    </row>
    <row r="165" spans="1:26" ht="12.75">
      <c r="A165">
        <v>2</v>
      </c>
      <c r="B165">
        <v>2</v>
      </c>
      <c r="D165">
        <v>5</v>
      </c>
      <c r="E165" t="e">
        <f>#VALUE!</f>
        <v>#VALUE!</v>
      </c>
      <c r="F165" t="e">
        <f>#VALUE!</f>
        <v>#VALUE!</v>
      </c>
      <c r="G165" t="e">
        <f>#VALUE!</f>
        <v>#VALUE!</v>
      </c>
      <c r="H165" t="e">
        <f>#VALUE!</f>
        <v>#VALUE!</v>
      </c>
      <c r="I165" t="e">
        <f>#VALUE!</f>
        <v>#VALUE!</v>
      </c>
      <c r="J165" t="e">
        <f>#VALUE!</f>
        <v>#VALUE!</v>
      </c>
      <c r="K165" t="e">
        <f>#VALUE!</f>
        <v>#VALUE!</v>
      </c>
      <c r="L165" t="e">
        <f>#VALUE!</f>
        <v>#VALUE!</v>
      </c>
      <c r="M165">
        <v>0.14</v>
      </c>
      <c r="N165">
        <v>0.07</v>
      </c>
      <c r="O165">
        <v>0.051</v>
      </c>
      <c r="P165">
        <v>0.051</v>
      </c>
      <c r="Q165">
        <v>0.035</v>
      </c>
      <c r="R165">
        <v>0.035</v>
      </c>
      <c r="S165">
        <v>0.035</v>
      </c>
      <c r="T165">
        <v>0.008</v>
      </c>
      <c r="U165">
        <v>0.008</v>
      </c>
      <c r="V165">
        <v>0.008</v>
      </c>
      <c r="W165">
        <v>0.004</v>
      </c>
      <c r="X165">
        <v>0.004</v>
      </c>
      <c r="Y165">
        <v>0.003</v>
      </c>
      <c r="Z165">
        <v>0.003</v>
      </c>
    </row>
    <row r="166" spans="1:26" ht="12.75">
      <c r="A166">
        <v>4</v>
      </c>
      <c r="B166">
        <v>3</v>
      </c>
      <c r="D166">
        <v>6</v>
      </c>
      <c r="E166" t="e">
        <f>#VALUE!</f>
        <v>#VALUE!</v>
      </c>
      <c r="F166" t="e">
        <f>#VALUE!</f>
        <v>#VALUE!</v>
      </c>
      <c r="G166" t="e">
        <f>#VALUE!</f>
        <v>#VALUE!</v>
      </c>
      <c r="H166" t="e">
        <f>#VALUE!</f>
        <v>#VALUE!</v>
      </c>
      <c r="I166" t="e">
        <f>#VALUE!</f>
        <v>#VALUE!</v>
      </c>
      <c r="J166" t="e">
        <f>#VALUE!</f>
        <v>#VALUE!</v>
      </c>
      <c r="K166" t="e">
        <f>#VALUE!</f>
        <v>#VALUE!</v>
      </c>
      <c r="L166" t="e">
        <f>#VALUE!</f>
        <v>#VALUE!</v>
      </c>
      <c r="M166">
        <v>0</v>
      </c>
      <c r="N166">
        <v>0.12</v>
      </c>
      <c r="O166">
        <v>0.07</v>
      </c>
      <c r="P166">
        <v>0.07</v>
      </c>
      <c r="Q166">
        <v>0.05</v>
      </c>
      <c r="R166">
        <v>0.05</v>
      </c>
      <c r="S166">
        <v>0.05</v>
      </c>
      <c r="T166">
        <v>0.015</v>
      </c>
      <c r="U166">
        <v>0.015</v>
      </c>
      <c r="V166">
        <v>0.015</v>
      </c>
      <c r="W166">
        <v>0.007</v>
      </c>
      <c r="X166">
        <v>0.007</v>
      </c>
      <c r="Y166">
        <v>0.005</v>
      </c>
      <c r="Z166">
        <v>0.005</v>
      </c>
    </row>
    <row r="167" spans="1:2" ht="12.75">
      <c r="A167">
        <v>8</v>
      </c>
      <c r="B167">
        <v>4</v>
      </c>
    </row>
    <row r="168" spans="1:26" ht="12.75">
      <c r="A168">
        <v>16</v>
      </c>
      <c r="B168">
        <v>5</v>
      </c>
      <c r="D168" s="14" t="s">
        <v>982</v>
      </c>
      <c r="E168">
        <v>0</v>
      </c>
      <c r="F168">
        <v>1</v>
      </c>
      <c r="G168">
        <v>2</v>
      </c>
      <c r="H168">
        <v>3</v>
      </c>
      <c r="I168">
        <v>4</v>
      </c>
      <c r="J168">
        <v>5</v>
      </c>
      <c r="K168">
        <v>6</v>
      </c>
      <c r="L168">
        <v>7</v>
      </c>
      <c r="M168">
        <v>8</v>
      </c>
      <c r="N168">
        <v>9</v>
      </c>
      <c r="O168">
        <v>10</v>
      </c>
      <c r="P168">
        <v>11</v>
      </c>
      <c r="Q168">
        <v>12</v>
      </c>
      <c r="R168">
        <v>13</v>
      </c>
      <c r="S168">
        <v>14</v>
      </c>
      <c r="T168">
        <v>15</v>
      </c>
      <c r="U168">
        <v>16</v>
      </c>
      <c r="V168">
        <v>17</v>
      </c>
      <c r="W168">
        <v>18</v>
      </c>
      <c r="X168">
        <v>19</v>
      </c>
      <c r="Y168">
        <v>20</v>
      </c>
      <c r="Z168">
        <v>21</v>
      </c>
    </row>
    <row r="169" spans="1:26" ht="12.75">
      <c r="A169">
        <v>32</v>
      </c>
      <c r="B169">
        <v>6</v>
      </c>
      <c r="D169">
        <v>0</v>
      </c>
      <c r="E169" t="e">
        <f>#VALUE!</f>
        <v>#VALUE!</v>
      </c>
      <c r="F169" t="e">
        <f>#VALUE!</f>
        <v>#VALUE!</v>
      </c>
      <c r="G169" t="e">
        <f>#VALUE!</f>
        <v>#VALUE!</v>
      </c>
      <c r="H169" t="e">
        <f>#VALUE!</f>
        <v>#VALUE!</v>
      </c>
      <c r="I169" t="e">
        <f>#VALUE!</f>
        <v>#VALUE!</v>
      </c>
      <c r="J169" t="e">
        <f>#VALUE!</f>
        <v>#VALUE!</v>
      </c>
      <c r="K169" t="e">
        <f>#VALUE!</f>
        <v>#VALUE!</v>
      </c>
      <c r="L169" t="e">
        <f>#VALUE!</f>
        <v>#VALUE!</v>
      </c>
      <c r="M169" t="e">
        <f>#VALUE!</f>
        <v>#VALUE!</v>
      </c>
      <c r="N169" t="e">
        <f>#VALUE!</f>
        <v>#VALUE!</v>
      </c>
      <c r="O169" t="e">
        <f>#VALUE!</f>
        <v>#VALUE!</v>
      </c>
      <c r="P169" t="e">
        <f>#VALUE!</f>
        <v>#VALUE!</v>
      </c>
      <c r="Q169" t="e">
        <f>#VALUE!</f>
        <v>#VALUE!</v>
      </c>
      <c r="R169" t="e">
        <f>#VALUE!</f>
        <v>#VALUE!</v>
      </c>
      <c r="S169" t="e">
        <f>#VALUE!</f>
        <v>#VALUE!</v>
      </c>
      <c r="T169">
        <v>0.61</v>
      </c>
      <c r="U169">
        <v>0.39</v>
      </c>
      <c r="V169">
        <v>0.39</v>
      </c>
      <c r="W169">
        <v>0.05</v>
      </c>
      <c r="X169">
        <v>0.05</v>
      </c>
      <c r="Y169">
        <v>0.11</v>
      </c>
      <c r="Z169">
        <v>0.11</v>
      </c>
    </row>
    <row r="170" spans="1:26" ht="12.75">
      <c r="A170">
        <v>64</v>
      </c>
      <c r="B170">
        <v>7</v>
      </c>
      <c r="D170">
        <v>1</v>
      </c>
      <c r="E170" t="e">
        <f>#VALUE!</f>
        <v>#VALUE!</v>
      </c>
      <c r="F170" t="e">
        <f>#VALUE!</f>
        <v>#VALUE!</v>
      </c>
      <c r="G170" t="e">
        <f>#VALUE!</f>
        <v>#VALUE!</v>
      </c>
      <c r="H170" t="e">
        <f>#VALUE!</f>
        <v>#VALUE!</v>
      </c>
      <c r="I170" t="e">
        <f>#VALUE!</f>
        <v>#VALUE!</v>
      </c>
      <c r="J170" t="e">
        <f>#VALUE!</f>
        <v>#VALUE!</v>
      </c>
      <c r="K170" t="e">
        <f>#VALUE!</f>
        <v>#VALUE!</v>
      </c>
      <c r="L170" t="e">
        <f>#VALUE!</f>
        <v>#VALUE!</v>
      </c>
      <c r="M170" t="e">
        <f>#VALUE!</f>
        <v>#VALUE!</v>
      </c>
      <c r="N170" t="e">
        <f>#VALUE!</f>
        <v>#VALUE!</v>
      </c>
      <c r="O170" t="e">
        <f>#VALUE!</f>
        <v>#VALUE!</v>
      </c>
      <c r="P170" t="e">
        <f>#VALUE!</f>
        <v>#VALUE!</v>
      </c>
      <c r="Q170" t="e">
        <f>#VALUE!</f>
        <v>#VALUE!</v>
      </c>
      <c r="R170" t="e">
        <f>#VALUE!</f>
        <v>#VALUE!</v>
      </c>
      <c r="S170" t="e">
        <f>#VALUE!</f>
        <v>#VALUE!</v>
      </c>
      <c r="T170">
        <v>4.07</v>
      </c>
      <c r="U170">
        <v>2.57</v>
      </c>
      <c r="V170">
        <v>2.57</v>
      </c>
      <c r="W170">
        <v>0.83</v>
      </c>
      <c r="X170">
        <v>0.83</v>
      </c>
      <c r="Y170">
        <v>0.11</v>
      </c>
      <c r="Z170">
        <v>0.11</v>
      </c>
    </row>
    <row r="171" spans="1:26" ht="12.75">
      <c r="A171">
        <v>128</v>
      </c>
      <c r="B171">
        <v>8</v>
      </c>
      <c r="D171">
        <v>2</v>
      </c>
      <c r="E171" t="e">
        <f>#VALUE!</f>
        <v>#VALUE!</v>
      </c>
      <c r="F171" t="e">
        <f>#VALUE!</f>
        <v>#VALUE!</v>
      </c>
      <c r="G171" t="e">
        <f>#VALUE!</f>
        <v>#VALUE!</v>
      </c>
      <c r="H171" t="e">
        <f>#VALUE!</f>
        <v>#VALUE!</v>
      </c>
      <c r="I171" t="e">
        <f>#VALUE!</f>
        <v>#VALUE!</v>
      </c>
      <c r="J171" t="e">
        <f>#VALUE!</f>
        <v>#VALUE!</v>
      </c>
      <c r="K171" t="e">
        <f>#VALUE!</f>
        <v>#VALUE!</v>
      </c>
      <c r="L171" t="e">
        <f>#VALUE!</f>
        <v>#VALUE!</v>
      </c>
      <c r="M171" t="e">
        <f>#VALUE!</f>
        <v>#VALUE!</v>
      </c>
      <c r="N171" t="e">
        <f>#VALUE!</f>
        <v>#VALUE!</v>
      </c>
      <c r="O171" t="e">
        <f>#VALUE!</f>
        <v>#VALUE!</v>
      </c>
      <c r="P171" t="e">
        <f>#VALUE!</f>
        <v>#VALUE!</v>
      </c>
      <c r="Q171" t="e">
        <f>#VALUE!</f>
        <v>#VALUE!</v>
      </c>
      <c r="R171" t="e">
        <f>#VALUE!</f>
        <v>#VALUE!</v>
      </c>
      <c r="S171" t="e">
        <f>#VALUE!</f>
        <v>#VALUE!</v>
      </c>
      <c r="T171">
        <v>38.89</v>
      </c>
      <c r="U171">
        <v>20.74</v>
      </c>
      <c r="V171">
        <v>20.74</v>
      </c>
      <c r="W171">
        <v>6.48</v>
      </c>
      <c r="X171">
        <v>6.48</v>
      </c>
      <c r="Y171">
        <v>1.3</v>
      </c>
      <c r="Z171">
        <v>1.3</v>
      </c>
    </row>
    <row r="172" spans="1:26" ht="12.75">
      <c r="A172">
        <v>1000000</v>
      </c>
      <c r="B172">
        <v>8</v>
      </c>
      <c r="D172">
        <v>3</v>
      </c>
      <c r="E172" t="e">
        <f>#VALUE!</f>
        <v>#VALUE!</v>
      </c>
      <c r="F172" t="e">
        <f>#VALUE!</f>
        <v>#VALUE!</v>
      </c>
      <c r="G172" t="e">
        <f>#VALUE!</f>
        <v>#VALUE!</v>
      </c>
      <c r="H172" t="e">
        <f>#VALUE!</f>
        <v>#VALUE!</v>
      </c>
      <c r="I172" t="e">
        <f>#VALUE!</f>
        <v>#VALUE!</v>
      </c>
      <c r="J172" t="e">
        <f>#VALUE!</f>
        <v>#VALUE!</v>
      </c>
      <c r="K172" t="e">
        <f>#VALUE!</f>
        <v>#VALUE!</v>
      </c>
      <c r="L172" t="e">
        <f>#VALUE!</f>
        <v>#VALUE!</v>
      </c>
      <c r="M172" t="e">
        <f>#VALUE!</f>
        <v>#VALUE!</v>
      </c>
      <c r="N172" t="e">
        <f>#VALUE!</f>
        <v>#VALUE!</v>
      </c>
      <c r="O172" t="e">
        <f>#VALUE!</f>
        <v>#VALUE!</v>
      </c>
      <c r="P172" t="e">
        <f>#VALUE!</f>
        <v>#VALUE!</v>
      </c>
      <c r="Q172" t="e">
        <f>#VALUE!</f>
        <v>#VALUE!</v>
      </c>
      <c r="R172" t="e">
        <f>#VALUE!</f>
        <v>#VALUE!</v>
      </c>
      <c r="S172" t="e">
        <f>#VALUE!</f>
        <v>#VALUE!</v>
      </c>
      <c r="T172">
        <v>238.89</v>
      </c>
      <c r="U172">
        <v>127.41</v>
      </c>
      <c r="V172">
        <v>127.41</v>
      </c>
      <c r="W172">
        <v>39.81</v>
      </c>
      <c r="X172">
        <v>39.81</v>
      </c>
      <c r="Y172">
        <v>25.96</v>
      </c>
      <c r="Z172">
        <v>25.96</v>
      </c>
    </row>
    <row r="173" spans="4:26" ht="12.75">
      <c r="D173">
        <v>4</v>
      </c>
      <c r="E173" t="e">
        <f>#VALUE!</f>
        <v>#VALUE!</v>
      </c>
      <c r="F173" t="e">
        <f>#VALUE!</f>
        <v>#VALUE!</v>
      </c>
      <c r="G173" t="e">
        <f>#VALUE!</f>
        <v>#VALUE!</v>
      </c>
      <c r="H173" t="e">
        <f>#VALUE!</f>
        <v>#VALUE!</v>
      </c>
      <c r="I173" t="e">
        <f>#VALUE!</f>
        <v>#VALUE!</v>
      </c>
      <c r="J173" t="e">
        <f>#VALUE!</f>
        <v>#VALUE!</v>
      </c>
      <c r="K173" t="e">
        <f>#VALUE!</f>
        <v>#VALUE!</v>
      </c>
      <c r="L173" t="e">
        <f>#VALUE!</f>
        <v>#VALUE!</v>
      </c>
      <c r="M173" t="e">
        <f>#VALUE!</f>
        <v>#VALUE!</v>
      </c>
      <c r="N173" t="e">
        <f>#VALUE!</f>
        <v>#VALUE!</v>
      </c>
      <c r="O173" t="e">
        <f>#VALUE!</f>
        <v>#VALUE!</v>
      </c>
      <c r="P173" t="e">
        <f>#VALUE!</f>
        <v>#VALUE!</v>
      </c>
      <c r="Q173" t="e">
        <f>#VALUE!</f>
        <v>#VALUE!</v>
      </c>
      <c r="R173" t="e">
        <f>#VALUE!</f>
        <v>#VALUE!</v>
      </c>
      <c r="S173" t="e">
        <f>#VALUE!</f>
        <v>#VALUE!</v>
      </c>
      <c r="T173">
        <v>500</v>
      </c>
      <c r="U173">
        <v>220</v>
      </c>
      <c r="V173">
        <v>220</v>
      </c>
      <c r="W173">
        <v>85</v>
      </c>
      <c r="X173">
        <v>85</v>
      </c>
      <c r="Y173">
        <v>50</v>
      </c>
      <c r="Z173">
        <v>50</v>
      </c>
    </row>
    <row r="174" ht="12.75">
      <c r="A174" t="s">
        <v>1362</v>
      </c>
    </row>
    <row r="175" spans="1:26" ht="12.75">
      <c r="A175">
        <v>0</v>
      </c>
      <c r="B175">
        <v>0</v>
      </c>
      <c r="D175" s="14" t="s">
        <v>1363</v>
      </c>
      <c r="E175">
        <v>0</v>
      </c>
      <c r="F175">
        <v>1</v>
      </c>
      <c r="G175">
        <v>2</v>
      </c>
      <c r="H175">
        <v>3</v>
      </c>
      <c r="I175">
        <v>4</v>
      </c>
      <c r="J175">
        <v>5</v>
      </c>
      <c r="K175">
        <v>6</v>
      </c>
      <c r="L175">
        <v>7</v>
      </c>
      <c r="M175">
        <v>8</v>
      </c>
      <c r="N175">
        <v>9</v>
      </c>
      <c r="O175">
        <v>10</v>
      </c>
      <c r="P175">
        <v>11</v>
      </c>
      <c r="Q175">
        <v>12</v>
      </c>
      <c r="R175">
        <v>13</v>
      </c>
      <c r="S175">
        <v>14</v>
      </c>
      <c r="T175">
        <v>15</v>
      </c>
      <c r="U175">
        <v>16</v>
      </c>
      <c r="V175">
        <v>17</v>
      </c>
      <c r="W175">
        <v>18</v>
      </c>
      <c r="X175">
        <v>19</v>
      </c>
      <c r="Y175">
        <v>20</v>
      </c>
      <c r="Z175">
        <v>21</v>
      </c>
    </row>
    <row r="176" spans="1:26" ht="12.75">
      <c r="A176">
        <v>1</v>
      </c>
      <c r="B176">
        <v>0</v>
      </c>
      <c r="D176">
        <v>0</v>
      </c>
      <c r="E176" t="e">
        <f>#VALUE!</f>
        <v>#VALUE!</v>
      </c>
      <c r="F176" t="e">
        <f>#VALUE!</f>
        <v>#VALUE!</v>
      </c>
      <c r="G176" t="e">
        <f>#VALUE!</f>
        <v>#VALUE!</v>
      </c>
      <c r="H176" t="e">
        <f>#VALUE!</f>
        <v>#VALUE!</v>
      </c>
      <c r="I176" t="e">
        <f>#VALUE!</f>
        <v>#VALUE!</v>
      </c>
      <c r="J176" t="e">
        <f>#VALUE!</f>
        <v>#VALUE!</v>
      </c>
      <c r="K176" t="e">
        <f>#VALUE!</f>
        <v>#VALUE!</v>
      </c>
      <c r="L176" t="e">
        <f>#VALUE!</f>
        <v>#VALUE!</v>
      </c>
      <c r="M176">
        <v>1</v>
      </c>
      <c r="N176">
        <v>0.5</v>
      </c>
      <c r="O176">
        <f>0.15*0.75</f>
        <v>0.11249999999999999</v>
      </c>
      <c r="P176">
        <f>0.15*0.75</f>
        <v>0.11249999999999999</v>
      </c>
      <c r="Q176">
        <f aca="true" t="shared" si="0" ref="Q176:X176">0.1*0.75</f>
        <v>0.07500000000000001</v>
      </c>
      <c r="R176">
        <f t="shared" si="0"/>
        <v>0.07500000000000001</v>
      </c>
      <c r="S176">
        <f t="shared" si="0"/>
        <v>0.07500000000000001</v>
      </c>
      <c r="T176">
        <f t="shared" si="0"/>
        <v>0.07500000000000001</v>
      </c>
      <c r="U176">
        <f t="shared" si="0"/>
        <v>0.07500000000000001</v>
      </c>
      <c r="V176">
        <f t="shared" si="0"/>
        <v>0.07500000000000001</v>
      </c>
      <c r="W176">
        <f t="shared" si="0"/>
        <v>0.07500000000000001</v>
      </c>
      <c r="X176">
        <f t="shared" si="0"/>
        <v>0.07500000000000001</v>
      </c>
      <c r="Y176">
        <f>0.05*0.75</f>
        <v>0.037500000000000006</v>
      </c>
      <c r="Z176">
        <f>0.05*0.75</f>
        <v>0.037500000000000006</v>
      </c>
    </row>
    <row r="177" spans="1:26" ht="12.75">
      <c r="A177">
        <v>2</v>
      </c>
      <c r="B177">
        <v>-1</v>
      </c>
      <c r="D177">
        <v>1</v>
      </c>
      <c r="E177" t="e">
        <f>#VALUE!</f>
        <v>#VALUE!</v>
      </c>
      <c r="F177" t="e">
        <f>#VALUE!</f>
        <v>#VALUE!</v>
      </c>
      <c r="G177" t="e">
        <f>#VALUE!</f>
        <v>#VALUE!</v>
      </c>
      <c r="H177" t="e">
        <f>#VALUE!</f>
        <v>#VALUE!</v>
      </c>
      <c r="I177" t="e">
        <f>#VALUE!</f>
        <v>#VALUE!</v>
      </c>
      <c r="J177" t="e">
        <f>#VALUE!</f>
        <v>#VALUE!</v>
      </c>
      <c r="K177" t="e">
        <f>#VALUE!</f>
        <v>#VALUE!</v>
      </c>
      <c r="L177" t="e">
        <f>#VALUE!</f>
        <v>#VALUE!</v>
      </c>
      <c r="M177">
        <v>4</v>
      </c>
      <c r="N177">
        <v>2</v>
      </c>
      <c r="O177">
        <f>1.5*0.75</f>
        <v>1.125</v>
      </c>
      <c r="P177">
        <f>1.5*0.75</f>
        <v>1.125</v>
      </c>
      <c r="Q177">
        <v>0.75</v>
      </c>
      <c r="R177">
        <v>0.75</v>
      </c>
      <c r="S177">
        <f>0.5*0.75</f>
        <v>0.375</v>
      </c>
      <c r="T177">
        <f>0.5*0.75</f>
        <v>0.375</v>
      </c>
      <c r="U177">
        <f>0.25*0.75</f>
        <v>0.1875</v>
      </c>
      <c r="V177">
        <f>0.25*0.75</f>
        <v>0.1875</v>
      </c>
      <c r="W177">
        <f>0.1*0.75</f>
        <v>0.07500000000000001</v>
      </c>
      <c r="X177">
        <f>0.1*0.75</f>
        <v>0.07500000000000001</v>
      </c>
      <c r="Y177">
        <f>0.05*0.75</f>
        <v>0.037500000000000006</v>
      </c>
      <c r="Z177">
        <f>0.05*0.75</f>
        <v>0.037500000000000006</v>
      </c>
    </row>
    <row r="178" spans="1:26" ht="12.75">
      <c r="A178">
        <v>3</v>
      </c>
      <c r="B178">
        <v>-1</v>
      </c>
      <c r="D178">
        <v>2</v>
      </c>
      <c r="E178" t="e">
        <f>#VALUE!</f>
        <v>#VALUE!</v>
      </c>
      <c r="F178" t="e">
        <f>#VALUE!</f>
        <v>#VALUE!</v>
      </c>
      <c r="G178" t="e">
        <f>#VALUE!</f>
        <v>#VALUE!</v>
      </c>
      <c r="H178" t="e">
        <f>#VALUE!</f>
        <v>#VALUE!</v>
      </c>
      <c r="I178" t="e">
        <f>#VALUE!</f>
        <v>#VALUE!</v>
      </c>
      <c r="J178" t="e">
        <f>#VALUE!</f>
        <v>#VALUE!</v>
      </c>
      <c r="K178" t="e">
        <f>#VALUE!</f>
        <v>#VALUE!</v>
      </c>
      <c r="L178" t="e">
        <f>#VALUE!</f>
        <v>#VALUE!</v>
      </c>
      <c r="M178">
        <v>40</v>
      </c>
      <c r="N178">
        <v>20</v>
      </c>
      <c r="O178">
        <f>15*0.75</f>
        <v>11.25</v>
      </c>
      <c r="P178">
        <f>15*0.75</f>
        <v>11.25</v>
      </c>
      <c r="Q178">
        <v>7.5</v>
      </c>
      <c r="R178">
        <v>7.5</v>
      </c>
      <c r="S178">
        <f>5*0.75</f>
        <v>3.75</v>
      </c>
      <c r="T178">
        <f>5*0.75</f>
        <v>3.75</v>
      </c>
      <c r="U178">
        <f>2.5*0.75</f>
        <v>1.875</v>
      </c>
      <c r="V178">
        <f>2.5*0.75</f>
        <v>1.875</v>
      </c>
      <c r="W178">
        <v>0.75</v>
      </c>
      <c r="X178">
        <v>0.75</v>
      </c>
      <c r="Y178">
        <f>0.5*0.75</f>
        <v>0.375</v>
      </c>
      <c r="Z178">
        <f>0.5*0.75</f>
        <v>0.375</v>
      </c>
    </row>
    <row r="179" spans="1:26" ht="12.75">
      <c r="A179">
        <v>4</v>
      </c>
      <c r="B179">
        <v>-1</v>
      </c>
      <c r="D179">
        <v>3</v>
      </c>
      <c r="E179" t="e">
        <f>#VALUE!</f>
        <v>#VALUE!</v>
      </c>
      <c r="F179" t="e">
        <f>#VALUE!</f>
        <v>#VALUE!</v>
      </c>
      <c r="G179" t="e">
        <f>#VALUE!</f>
        <v>#VALUE!</v>
      </c>
      <c r="H179" t="e">
        <f>#VALUE!</f>
        <v>#VALUE!</v>
      </c>
      <c r="I179" t="e">
        <f>#VALUE!</f>
        <v>#VALUE!</v>
      </c>
      <c r="J179" t="e">
        <f>#VALUE!</f>
        <v>#VALUE!</v>
      </c>
      <c r="K179" t="e">
        <f>#VALUE!</f>
        <v>#VALUE!</v>
      </c>
      <c r="L179" t="e">
        <f>#VALUE!</f>
        <v>#VALUE!</v>
      </c>
      <c r="M179">
        <v>400</v>
      </c>
      <c r="N179">
        <v>200</v>
      </c>
      <c r="O179">
        <f>150*0.75</f>
        <v>112.5</v>
      </c>
      <c r="P179">
        <f>150*0.75</f>
        <v>112.5</v>
      </c>
      <c r="Q179">
        <v>75</v>
      </c>
      <c r="R179">
        <v>75</v>
      </c>
      <c r="S179">
        <f>50*0.75</f>
        <v>37.5</v>
      </c>
      <c r="T179">
        <f>50*0.75</f>
        <v>37.5</v>
      </c>
      <c r="U179">
        <f>25*0.75</f>
        <v>18.75</v>
      </c>
      <c r="V179">
        <f>25*0.75</f>
        <v>18.75</v>
      </c>
      <c r="W179">
        <v>7.5</v>
      </c>
      <c r="X179">
        <v>7.5</v>
      </c>
      <c r="Y179">
        <f>5*0.75</f>
        <v>3.75</v>
      </c>
      <c r="Z179">
        <f>5*0.75</f>
        <v>3.75</v>
      </c>
    </row>
    <row r="180" spans="1:26" ht="12.75">
      <c r="A180">
        <v>5</v>
      </c>
      <c r="B180">
        <v>-2</v>
      </c>
      <c r="D180">
        <v>4</v>
      </c>
      <c r="E180" t="e">
        <f>#VALUE!</f>
        <v>#VALUE!</v>
      </c>
      <c r="F180" t="e">
        <f>#VALUE!</f>
        <v>#VALUE!</v>
      </c>
      <c r="G180" t="e">
        <f>#VALUE!</f>
        <v>#VALUE!</v>
      </c>
      <c r="H180" t="e">
        <f>#VALUE!</f>
        <v>#VALUE!</v>
      </c>
      <c r="I180" t="e">
        <f>#VALUE!</f>
        <v>#VALUE!</v>
      </c>
      <c r="J180" t="e">
        <f>#VALUE!</f>
        <v>#VALUE!</v>
      </c>
      <c r="K180" t="e">
        <f>#VALUE!</f>
        <v>#VALUE!</v>
      </c>
      <c r="L180" t="e">
        <f>#VALUE!</f>
        <v>#VALUE!</v>
      </c>
      <c r="M180" t="e">
        <f>#VALUE!</f>
        <v>#VALUE!</v>
      </c>
      <c r="N180">
        <v>2000</v>
      </c>
      <c r="O180">
        <f>1500*0.75</f>
        <v>1125</v>
      </c>
      <c r="P180">
        <f>1500*0.75</f>
        <v>1125</v>
      </c>
      <c r="Q180">
        <v>750</v>
      </c>
      <c r="R180">
        <v>750</v>
      </c>
      <c r="S180">
        <f>500*0.75</f>
        <v>375</v>
      </c>
      <c r="T180">
        <f>500*0.75</f>
        <v>375</v>
      </c>
      <c r="U180">
        <f>250*0.75</f>
        <v>187.5</v>
      </c>
      <c r="V180">
        <f>250*0.75</f>
        <v>187.5</v>
      </c>
      <c r="W180">
        <v>75</v>
      </c>
      <c r="X180">
        <v>75</v>
      </c>
      <c r="Y180">
        <f>50*0.75</f>
        <v>37.5</v>
      </c>
      <c r="Z180">
        <f>50*0.75</f>
        <v>37.5</v>
      </c>
    </row>
    <row r="181" spans="1:26" ht="12.75">
      <c r="A181">
        <v>6</v>
      </c>
      <c r="B181">
        <v>-2</v>
      </c>
      <c r="D181">
        <v>5</v>
      </c>
      <c r="E181" t="e">
        <f>#VALUE!</f>
        <v>#VALUE!</v>
      </c>
      <c r="F181" t="e">
        <f>#VALUE!</f>
        <v>#VALUE!</v>
      </c>
      <c r="G181" t="e">
        <f>#VALUE!</f>
        <v>#VALUE!</v>
      </c>
      <c r="H181" t="e">
        <f>#VALUE!</f>
        <v>#VALUE!</v>
      </c>
      <c r="I181" t="e">
        <f>#VALUE!</f>
        <v>#VALUE!</v>
      </c>
      <c r="J181" t="e">
        <f>#VALUE!</f>
        <v>#VALUE!</v>
      </c>
      <c r="K181" t="e">
        <f>#VALUE!</f>
        <v>#VALUE!</v>
      </c>
      <c r="L181" t="e">
        <f>#VALUE!</f>
        <v>#VALUE!</v>
      </c>
      <c r="M181" t="e">
        <f>#VALUE!</f>
        <v>#VALUE!</v>
      </c>
      <c r="N181" t="e">
        <f>#VALUE!</f>
        <v>#VALUE!</v>
      </c>
      <c r="O181">
        <f>15000*0.75</f>
        <v>11250</v>
      </c>
      <c r="P181">
        <f>15000*0.75</f>
        <v>11250</v>
      </c>
      <c r="Q181">
        <v>7500</v>
      </c>
      <c r="R181">
        <v>7500</v>
      </c>
      <c r="S181">
        <f>5000*0.75</f>
        <v>3750</v>
      </c>
      <c r="T181">
        <f>5000*0.75</f>
        <v>3750</v>
      </c>
      <c r="U181">
        <f>2500*0.75</f>
        <v>1875</v>
      </c>
      <c r="V181">
        <f>2500*0.75</f>
        <v>1875</v>
      </c>
      <c r="W181">
        <v>750</v>
      </c>
      <c r="X181">
        <v>750</v>
      </c>
      <c r="Y181">
        <f>500*0.75</f>
        <v>375</v>
      </c>
      <c r="Z181">
        <f>500*0.75</f>
        <v>375</v>
      </c>
    </row>
    <row r="182" spans="1:26" ht="12.75">
      <c r="A182">
        <v>7</v>
      </c>
      <c r="B182">
        <v>-3</v>
      </c>
      <c r="D182">
        <v>6</v>
      </c>
      <c r="E182" t="e">
        <f>#VALUE!</f>
        <v>#VALUE!</v>
      </c>
      <c r="F182" t="e">
        <f>#VALUE!</f>
        <v>#VALUE!</v>
      </c>
      <c r="G182" t="e">
        <f>#VALUE!</f>
        <v>#VALUE!</v>
      </c>
      <c r="H182" t="e">
        <f>#VALUE!</f>
        <v>#VALUE!</v>
      </c>
      <c r="I182" t="e">
        <f>#VALUE!</f>
        <v>#VALUE!</v>
      </c>
      <c r="J182" t="e">
        <f>#VALUE!</f>
        <v>#VALUE!</v>
      </c>
      <c r="K182" t="e">
        <f>#VALUE!</f>
        <v>#VALUE!</v>
      </c>
      <c r="L182" t="e">
        <f>#VALUE!</f>
        <v>#VALUE!</v>
      </c>
      <c r="M182" t="e">
        <f>#VALUE!</f>
        <v>#VALUE!</v>
      </c>
      <c r="N182" t="e">
        <f>#VALUE!</f>
        <v>#VALUE!</v>
      </c>
      <c r="O182">
        <f>150000*0.75</f>
        <v>112500</v>
      </c>
      <c r="P182">
        <f>150000*0.75</f>
        <v>112500</v>
      </c>
      <c r="Q182">
        <v>75000</v>
      </c>
      <c r="R182">
        <v>75000</v>
      </c>
      <c r="S182">
        <f>50000*0.75</f>
        <v>37500</v>
      </c>
      <c r="T182">
        <f>50000*0.75</f>
        <v>37500</v>
      </c>
      <c r="U182">
        <f>25000*0.75</f>
        <v>18750</v>
      </c>
      <c r="V182">
        <f>25000*0.75</f>
        <v>18750</v>
      </c>
      <c r="W182">
        <v>7500</v>
      </c>
      <c r="X182">
        <v>7500</v>
      </c>
      <c r="Y182">
        <f>5000*0.75</f>
        <v>3750</v>
      </c>
      <c r="Z182">
        <f>5000*0.75</f>
        <v>3750</v>
      </c>
    </row>
    <row r="183" spans="1:26" ht="12.75">
      <c r="A183">
        <v>8</v>
      </c>
      <c r="B183">
        <v>-4</v>
      </c>
      <c r="D183">
        <v>7</v>
      </c>
      <c r="E183" t="e">
        <f>#VALUE!</f>
        <v>#VALUE!</v>
      </c>
      <c r="F183" t="e">
        <f>#VALUE!</f>
        <v>#VALUE!</v>
      </c>
      <c r="G183" t="e">
        <f>#VALUE!</f>
        <v>#VALUE!</v>
      </c>
      <c r="H183" t="e">
        <f>#VALUE!</f>
        <v>#VALUE!</v>
      </c>
      <c r="I183" t="e">
        <f>#VALUE!</f>
        <v>#VALUE!</v>
      </c>
      <c r="J183" t="e">
        <f>#VALUE!</f>
        <v>#VALUE!</v>
      </c>
      <c r="K183" t="e">
        <f>#VALUE!</f>
        <v>#VALUE!</v>
      </c>
      <c r="L183" t="e">
        <f>#VALUE!</f>
        <v>#VALUE!</v>
      </c>
      <c r="M183" t="e">
        <f>#VALUE!</f>
        <v>#VALUE!</v>
      </c>
      <c r="N183" t="e">
        <f>#VALUE!</f>
        <v>#VALUE!</v>
      </c>
      <c r="O183" t="e">
        <f>#VALUE!</f>
        <v>#VALUE!</v>
      </c>
      <c r="P183" t="e">
        <f>#VALUE!</f>
        <v>#VALUE!</v>
      </c>
      <c r="Q183">
        <v>750000</v>
      </c>
      <c r="R183">
        <v>750000</v>
      </c>
      <c r="S183">
        <f>500000*0.75</f>
        <v>375000</v>
      </c>
      <c r="T183">
        <f>500000*0.75</f>
        <v>375000</v>
      </c>
      <c r="U183">
        <f>250000*0.75</f>
        <v>187500</v>
      </c>
      <c r="V183">
        <f>250000*0.75</f>
        <v>187500</v>
      </c>
      <c r="W183">
        <v>75000</v>
      </c>
      <c r="X183">
        <v>75000</v>
      </c>
      <c r="Y183">
        <f>50000*0.75</f>
        <v>37500</v>
      </c>
      <c r="Z183">
        <f>50000*0.75</f>
        <v>37500</v>
      </c>
    </row>
    <row r="184" spans="1:2" ht="12.75">
      <c r="A184">
        <v>9</v>
      </c>
      <c r="B184">
        <v>-6</v>
      </c>
    </row>
    <row r="185" spans="4:26" ht="12.75">
      <c r="D185" s="14" t="s">
        <v>1364</v>
      </c>
      <c r="E185">
        <v>0</v>
      </c>
      <c r="F185">
        <v>1</v>
      </c>
      <c r="G185">
        <v>2</v>
      </c>
      <c r="H185">
        <v>3</v>
      </c>
      <c r="I185">
        <v>4</v>
      </c>
      <c r="J185">
        <v>5</v>
      </c>
      <c r="K185">
        <v>6</v>
      </c>
      <c r="L185">
        <v>7</v>
      </c>
      <c r="M185">
        <v>8</v>
      </c>
      <c r="N185">
        <v>9</v>
      </c>
      <c r="O185">
        <v>10</v>
      </c>
      <c r="P185">
        <v>11</v>
      </c>
      <c r="Q185">
        <v>12</v>
      </c>
      <c r="R185">
        <v>13</v>
      </c>
      <c r="S185">
        <v>14</v>
      </c>
      <c r="T185">
        <v>15</v>
      </c>
      <c r="U185">
        <v>16</v>
      </c>
      <c r="V185">
        <v>17</v>
      </c>
      <c r="W185">
        <v>18</v>
      </c>
      <c r="X185">
        <v>19</v>
      </c>
      <c r="Y185">
        <v>20</v>
      </c>
      <c r="Z185">
        <v>21</v>
      </c>
    </row>
    <row r="186" spans="1:26" ht="12.75">
      <c r="A186" t="s">
        <v>1365</v>
      </c>
      <c r="D186">
        <v>0</v>
      </c>
      <c r="E186" t="e">
        <f>#VALUE!</f>
        <v>#VALUE!</v>
      </c>
      <c r="F186" t="e">
        <f>#VALUE!</f>
        <v>#VALUE!</v>
      </c>
      <c r="G186" t="e">
        <f>#VALUE!</f>
        <v>#VALUE!</v>
      </c>
      <c r="H186" t="e">
        <f>#VALUE!</f>
        <v>#VALUE!</v>
      </c>
      <c r="I186" t="e">
        <f>#VALUE!</f>
        <v>#VALUE!</v>
      </c>
      <c r="J186" t="e">
        <f>#VALUE!</f>
        <v>#VALUE!</v>
      </c>
      <c r="K186" t="e">
        <f>#VALUE!</f>
        <v>#VALUE!</v>
      </c>
      <c r="L186" t="e">
        <f>#VALUE!</f>
        <v>#VALUE!</v>
      </c>
      <c r="M186" t="e">
        <f>#VALUE!</f>
        <v>#VALUE!</v>
      </c>
      <c r="N186" t="e">
        <f>#VALUE!</f>
        <v>#VALUE!</v>
      </c>
      <c r="O186">
        <f>0.15*0.75</f>
        <v>0.11249999999999999</v>
      </c>
      <c r="P186">
        <f>0.15*0.75</f>
        <v>0.11249999999999999</v>
      </c>
      <c r="Q186">
        <f aca="true" t="shared" si="1" ref="Q186:X186">0.1*0.75</f>
        <v>0.07500000000000001</v>
      </c>
      <c r="R186">
        <f t="shared" si="1"/>
        <v>0.07500000000000001</v>
      </c>
      <c r="S186">
        <f t="shared" si="1"/>
        <v>0.07500000000000001</v>
      </c>
      <c r="T186">
        <f t="shared" si="1"/>
        <v>0.07500000000000001</v>
      </c>
      <c r="U186">
        <f t="shared" si="1"/>
        <v>0.07500000000000001</v>
      </c>
      <c r="V186">
        <f t="shared" si="1"/>
        <v>0.07500000000000001</v>
      </c>
      <c r="W186">
        <f t="shared" si="1"/>
        <v>0.07500000000000001</v>
      </c>
      <c r="X186">
        <f t="shared" si="1"/>
        <v>0.07500000000000001</v>
      </c>
      <c r="Y186">
        <f>0.05*0.75</f>
        <v>0.037500000000000006</v>
      </c>
      <c r="Z186">
        <f>0.05*0.75</f>
        <v>0.037500000000000006</v>
      </c>
    </row>
    <row r="187" spans="1:26" ht="12.75">
      <c r="A187">
        <v>0</v>
      </c>
      <c r="B187" t="s">
        <v>1366</v>
      </c>
      <c r="D187">
        <v>1</v>
      </c>
      <c r="E187" t="e">
        <f>#VALUE!</f>
        <v>#VALUE!</v>
      </c>
      <c r="F187" t="e">
        <f>#VALUE!</f>
        <v>#VALUE!</v>
      </c>
      <c r="G187" t="e">
        <f>#VALUE!</f>
        <v>#VALUE!</v>
      </c>
      <c r="H187" t="e">
        <f>#VALUE!</f>
        <v>#VALUE!</v>
      </c>
      <c r="I187" t="e">
        <f>#VALUE!</f>
        <v>#VALUE!</v>
      </c>
      <c r="J187" t="e">
        <f>#VALUE!</f>
        <v>#VALUE!</v>
      </c>
      <c r="K187" t="e">
        <f>#VALUE!</f>
        <v>#VALUE!</v>
      </c>
      <c r="L187" t="e">
        <f>#VALUE!</f>
        <v>#VALUE!</v>
      </c>
      <c r="M187">
        <v>2</v>
      </c>
      <c r="N187">
        <v>1</v>
      </c>
      <c r="O187">
        <f>1.5*0.75</f>
        <v>1.125</v>
      </c>
      <c r="P187">
        <f>1.5*0.75</f>
        <v>1.125</v>
      </c>
      <c r="Q187">
        <v>0.75</v>
      </c>
      <c r="R187">
        <v>0.75</v>
      </c>
      <c r="S187">
        <f>0.5*0.75</f>
        <v>0.375</v>
      </c>
      <c r="T187">
        <f>0.5*0.75</f>
        <v>0.375</v>
      </c>
      <c r="U187">
        <f>0.25*0.75</f>
        <v>0.1875</v>
      </c>
      <c r="V187">
        <f>0.25*0.75</f>
        <v>0.1875</v>
      </c>
      <c r="W187">
        <f>0.1*0.75</f>
        <v>0.07500000000000001</v>
      </c>
      <c r="X187">
        <f>0.1*0.75</f>
        <v>0.07500000000000001</v>
      </c>
      <c r="Y187">
        <f>0.05*0.75</f>
        <v>0.037500000000000006</v>
      </c>
      <c r="Z187">
        <f>0.05*0.75</f>
        <v>0.037500000000000006</v>
      </c>
    </row>
    <row r="188" spans="1:26" ht="12.75">
      <c r="A188">
        <v>2</v>
      </c>
      <c r="B188" t="s">
        <v>625</v>
      </c>
      <c r="D188">
        <v>2</v>
      </c>
      <c r="E188" t="e">
        <f>#VALUE!</f>
        <v>#VALUE!</v>
      </c>
      <c r="F188" t="e">
        <f>#VALUE!</f>
        <v>#VALUE!</v>
      </c>
      <c r="G188" t="e">
        <f>#VALUE!</f>
        <v>#VALUE!</v>
      </c>
      <c r="H188" t="e">
        <f>#VALUE!</f>
        <v>#VALUE!</v>
      </c>
      <c r="I188" t="e">
        <f>#VALUE!</f>
        <v>#VALUE!</v>
      </c>
      <c r="J188" t="e">
        <f>#VALUE!</f>
        <v>#VALUE!</v>
      </c>
      <c r="K188" t="e">
        <f>#VALUE!</f>
        <v>#VALUE!</v>
      </c>
      <c r="L188" t="e">
        <f>#VALUE!</f>
        <v>#VALUE!</v>
      </c>
      <c r="M188">
        <v>20</v>
      </c>
      <c r="N188">
        <v>10</v>
      </c>
      <c r="O188">
        <f>15*0.75</f>
        <v>11.25</v>
      </c>
      <c r="P188">
        <f>15*0.75</f>
        <v>11.25</v>
      </c>
      <c r="Q188">
        <v>7.5</v>
      </c>
      <c r="R188">
        <v>7.5</v>
      </c>
      <c r="S188">
        <f>5*0.75</f>
        <v>3.75</v>
      </c>
      <c r="T188">
        <f>5*0.75</f>
        <v>3.75</v>
      </c>
      <c r="U188">
        <f>2.5*0.75</f>
        <v>1.875</v>
      </c>
      <c r="V188">
        <f>2.5*0.75</f>
        <v>1.875</v>
      </c>
      <c r="W188">
        <v>0.75</v>
      </c>
      <c r="X188">
        <v>0.75</v>
      </c>
      <c r="Y188">
        <f>0.5*0.75</f>
        <v>0.375</v>
      </c>
      <c r="Z188">
        <f>0.5*0.75</f>
        <v>0.375</v>
      </c>
    </row>
    <row r="189" spans="1:26" ht="12.75">
      <c r="A189">
        <v>8</v>
      </c>
      <c r="B189" t="s">
        <v>1367</v>
      </c>
      <c r="D189">
        <v>3</v>
      </c>
      <c r="E189" t="e">
        <f>#VALUE!</f>
        <v>#VALUE!</v>
      </c>
      <c r="F189" t="e">
        <f>#VALUE!</f>
        <v>#VALUE!</v>
      </c>
      <c r="G189" t="e">
        <f>#VALUE!</f>
        <v>#VALUE!</v>
      </c>
      <c r="H189" t="e">
        <f>#VALUE!</f>
        <v>#VALUE!</v>
      </c>
      <c r="I189" t="e">
        <f>#VALUE!</f>
        <v>#VALUE!</v>
      </c>
      <c r="J189" t="e">
        <f>#VALUE!</f>
        <v>#VALUE!</v>
      </c>
      <c r="K189" t="e">
        <f>#VALUE!</f>
        <v>#VALUE!</v>
      </c>
      <c r="L189" t="e">
        <f>#VALUE!</f>
        <v>#VALUE!</v>
      </c>
      <c r="M189" t="e">
        <f>#VALUE!</f>
        <v>#VALUE!</v>
      </c>
      <c r="N189">
        <v>100</v>
      </c>
      <c r="O189">
        <f>150*0.75</f>
        <v>112.5</v>
      </c>
      <c r="P189">
        <f>150*0.75</f>
        <v>112.5</v>
      </c>
      <c r="Q189">
        <v>75</v>
      </c>
      <c r="R189">
        <v>75</v>
      </c>
      <c r="S189">
        <f>50*0.75</f>
        <v>37.5</v>
      </c>
      <c r="T189">
        <f>50*0.75</f>
        <v>37.5</v>
      </c>
      <c r="U189">
        <f>25*0.75</f>
        <v>18.75</v>
      </c>
      <c r="V189">
        <f>25*0.75</f>
        <v>18.75</v>
      </c>
      <c r="W189">
        <v>7.5</v>
      </c>
      <c r="X189">
        <v>7.5</v>
      </c>
      <c r="Y189">
        <f>5*0.75</f>
        <v>3.75</v>
      </c>
      <c r="Z189">
        <f>5*0.75</f>
        <v>3.75</v>
      </c>
    </row>
    <row r="190" spans="1:26" ht="12.75">
      <c r="A190">
        <v>12</v>
      </c>
      <c r="B190" t="s">
        <v>646</v>
      </c>
      <c r="D190">
        <v>4</v>
      </c>
      <c r="E190" t="e">
        <f>#VALUE!</f>
        <v>#VALUE!</v>
      </c>
      <c r="F190" t="e">
        <f>#VALUE!</f>
        <v>#VALUE!</v>
      </c>
      <c r="G190" t="e">
        <f>#VALUE!</f>
        <v>#VALUE!</v>
      </c>
      <c r="H190" t="e">
        <f>#VALUE!</f>
        <v>#VALUE!</v>
      </c>
      <c r="I190" t="e">
        <f>#VALUE!</f>
        <v>#VALUE!</v>
      </c>
      <c r="J190" t="e">
        <f>#VALUE!</f>
        <v>#VALUE!</v>
      </c>
      <c r="K190" t="e">
        <f>#VALUE!</f>
        <v>#VALUE!</v>
      </c>
      <c r="L190" t="e">
        <f>#VALUE!</f>
        <v>#VALUE!</v>
      </c>
      <c r="M190" t="e">
        <f>#VALUE!</f>
        <v>#VALUE!</v>
      </c>
      <c r="N190">
        <v>2000</v>
      </c>
      <c r="O190">
        <f>1500*0.75</f>
        <v>1125</v>
      </c>
      <c r="P190">
        <f>1500*0.75</f>
        <v>1125</v>
      </c>
      <c r="Q190">
        <v>750</v>
      </c>
      <c r="R190">
        <v>750</v>
      </c>
      <c r="S190">
        <f>500*0.75</f>
        <v>375</v>
      </c>
      <c r="T190">
        <f>500*0.75</f>
        <v>375</v>
      </c>
      <c r="U190">
        <f>250*0.75</f>
        <v>187.5</v>
      </c>
      <c r="V190">
        <f>250*0.75</f>
        <v>187.5</v>
      </c>
      <c r="W190">
        <v>75</v>
      </c>
      <c r="X190">
        <v>75</v>
      </c>
      <c r="Y190">
        <f>50*0.75</f>
        <v>37.5</v>
      </c>
      <c r="Z190">
        <f>50*0.75</f>
        <v>37.5</v>
      </c>
    </row>
    <row r="191" spans="1:26" ht="12.75">
      <c r="A191">
        <v>36</v>
      </c>
      <c r="B191" t="s">
        <v>1368</v>
      </c>
      <c r="D191">
        <v>5</v>
      </c>
      <c r="E191" t="e">
        <f>#VALUE!</f>
        <v>#VALUE!</v>
      </c>
      <c r="F191" t="e">
        <f>#VALUE!</f>
        <v>#VALUE!</v>
      </c>
      <c r="G191" t="e">
        <f>#VALUE!</f>
        <v>#VALUE!</v>
      </c>
      <c r="H191" t="e">
        <f>#VALUE!</f>
        <v>#VALUE!</v>
      </c>
      <c r="I191" t="e">
        <f>#VALUE!</f>
        <v>#VALUE!</v>
      </c>
      <c r="J191" t="e">
        <f>#VALUE!</f>
        <v>#VALUE!</v>
      </c>
      <c r="K191" t="e">
        <f>#VALUE!</f>
        <v>#VALUE!</v>
      </c>
      <c r="L191" t="e">
        <f>#VALUE!</f>
        <v>#VALUE!</v>
      </c>
      <c r="M191" t="e">
        <f>#VALUE!</f>
        <v>#VALUE!</v>
      </c>
      <c r="N191" t="e">
        <f>#VALUE!</f>
        <v>#VALUE!</v>
      </c>
      <c r="O191">
        <f>15000*0.75</f>
        <v>11250</v>
      </c>
      <c r="P191">
        <f>15000*0.75</f>
        <v>11250</v>
      </c>
      <c r="Q191">
        <v>7500</v>
      </c>
      <c r="R191">
        <v>7500</v>
      </c>
      <c r="S191">
        <f>5000*0.75</f>
        <v>3750</v>
      </c>
      <c r="T191">
        <f>5000*0.75</f>
        <v>3750</v>
      </c>
      <c r="U191">
        <f>2500*0.75</f>
        <v>1875</v>
      </c>
      <c r="V191">
        <f>2500*0.75</f>
        <v>1875</v>
      </c>
      <c r="W191">
        <v>750</v>
      </c>
      <c r="X191">
        <v>750</v>
      </c>
      <c r="Y191">
        <f>500*0.75</f>
        <v>375</v>
      </c>
      <c r="Z191">
        <f>500*0.75</f>
        <v>375</v>
      </c>
    </row>
    <row r="192" spans="4:26" ht="12.75">
      <c r="D192">
        <v>6</v>
      </c>
      <c r="E192" t="e">
        <f>#VALUE!</f>
        <v>#VALUE!</v>
      </c>
      <c r="F192" t="e">
        <f>#VALUE!</f>
        <v>#VALUE!</v>
      </c>
      <c r="G192" t="e">
        <f>#VALUE!</f>
        <v>#VALUE!</v>
      </c>
      <c r="H192" t="e">
        <f>#VALUE!</f>
        <v>#VALUE!</v>
      </c>
      <c r="I192" t="e">
        <f>#VALUE!</f>
        <v>#VALUE!</v>
      </c>
      <c r="J192" t="e">
        <f>#VALUE!</f>
        <v>#VALUE!</v>
      </c>
      <c r="K192" t="e">
        <f>#VALUE!</f>
        <v>#VALUE!</v>
      </c>
      <c r="L192" t="e">
        <f>#VALUE!</f>
        <v>#VALUE!</v>
      </c>
      <c r="M192" t="e">
        <f>#VALUE!</f>
        <v>#VALUE!</v>
      </c>
      <c r="N192" t="e">
        <f>#VALUE!</f>
        <v>#VALUE!</v>
      </c>
      <c r="O192">
        <f>150000*0.75</f>
        <v>112500</v>
      </c>
      <c r="P192">
        <f>150000*0.75</f>
        <v>112500</v>
      </c>
      <c r="Q192">
        <v>75000</v>
      </c>
      <c r="R192">
        <v>75000</v>
      </c>
      <c r="S192">
        <f>50000*0.75</f>
        <v>37500</v>
      </c>
      <c r="T192">
        <f>50000*0.75</f>
        <v>37500</v>
      </c>
      <c r="U192">
        <f>25000*0.75</f>
        <v>18750</v>
      </c>
      <c r="V192">
        <f>25000*0.75</f>
        <v>18750</v>
      </c>
      <c r="W192">
        <v>7500</v>
      </c>
      <c r="X192">
        <v>7500</v>
      </c>
      <c r="Y192">
        <f>5000*0.75</f>
        <v>3750</v>
      </c>
      <c r="Z192">
        <f>5000*0.75</f>
        <v>3750</v>
      </c>
    </row>
    <row r="193" spans="4:26" ht="12.75">
      <c r="D193">
        <v>7</v>
      </c>
      <c r="E193" t="e">
        <f>#VALUE!</f>
        <v>#VALUE!</v>
      </c>
      <c r="F193" t="e">
        <f>#VALUE!</f>
        <v>#VALUE!</v>
      </c>
      <c r="G193" t="e">
        <f>#VALUE!</f>
        <v>#VALUE!</v>
      </c>
      <c r="H193" t="e">
        <f>#VALUE!</f>
        <v>#VALUE!</v>
      </c>
      <c r="I193" t="e">
        <f>#VALUE!</f>
        <v>#VALUE!</v>
      </c>
      <c r="J193" t="e">
        <f>#VALUE!</f>
        <v>#VALUE!</v>
      </c>
      <c r="K193" t="e">
        <f>#VALUE!</f>
        <v>#VALUE!</v>
      </c>
      <c r="L193" t="e">
        <f>#VALUE!</f>
        <v>#VALUE!</v>
      </c>
      <c r="M193" t="e">
        <f>#VALUE!</f>
        <v>#VALUE!</v>
      </c>
      <c r="N193" t="e">
        <f>#VALUE!</f>
        <v>#VALUE!</v>
      </c>
      <c r="O193" t="e">
        <f>#VALUE!</f>
        <v>#VALUE!</v>
      </c>
      <c r="P193" t="e">
        <f>#VALUE!</f>
        <v>#VALUE!</v>
      </c>
      <c r="Q193">
        <v>750000</v>
      </c>
      <c r="R193">
        <v>750000</v>
      </c>
      <c r="S193">
        <f>500000*0.75</f>
        <v>375000</v>
      </c>
      <c r="T193">
        <f>500000*0.75</f>
        <v>375000</v>
      </c>
      <c r="U193">
        <f>250000*0.75</f>
        <v>187500</v>
      </c>
      <c r="V193">
        <f>250000*0.75</f>
        <v>187500</v>
      </c>
      <c r="W193">
        <v>75000</v>
      </c>
      <c r="X193">
        <v>75000</v>
      </c>
      <c r="Y193">
        <f>50000*0.75</f>
        <v>37500</v>
      </c>
      <c r="Z193">
        <f>50000*0.75</f>
        <v>37500</v>
      </c>
    </row>
    <row r="195" spans="4:26" ht="12.75">
      <c r="D195" s="14" t="s">
        <v>1369</v>
      </c>
      <c r="E195">
        <v>0</v>
      </c>
      <c r="F195">
        <v>1</v>
      </c>
      <c r="G195">
        <v>2</v>
      </c>
      <c r="H195">
        <v>3</v>
      </c>
      <c r="I195">
        <v>4</v>
      </c>
      <c r="J195">
        <v>5</v>
      </c>
      <c r="K195">
        <v>6</v>
      </c>
      <c r="L195">
        <v>7</v>
      </c>
      <c r="M195">
        <v>8</v>
      </c>
      <c r="N195">
        <v>9</v>
      </c>
      <c r="O195">
        <v>10</v>
      </c>
      <c r="P195">
        <v>11</v>
      </c>
      <c r="Q195">
        <v>12</v>
      </c>
      <c r="R195">
        <v>13</v>
      </c>
      <c r="S195">
        <v>14</v>
      </c>
      <c r="T195">
        <v>15</v>
      </c>
      <c r="U195">
        <v>16</v>
      </c>
      <c r="V195">
        <v>17</v>
      </c>
      <c r="W195">
        <v>18</v>
      </c>
      <c r="X195">
        <v>19</v>
      </c>
      <c r="Y195">
        <v>20</v>
      </c>
      <c r="Z195">
        <v>21</v>
      </c>
    </row>
    <row r="196" spans="4:26" ht="12.75">
      <c r="D196">
        <v>0</v>
      </c>
      <c r="E196" t="e">
        <f>#VALUE!</f>
        <v>#VALUE!</v>
      </c>
      <c r="F196" t="e">
        <f>#VALUE!</f>
        <v>#VALUE!</v>
      </c>
      <c r="G196" t="e">
        <f>#VALUE!</f>
        <v>#VALUE!</v>
      </c>
      <c r="H196" t="e">
        <f>#VALUE!</f>
        <v>#VALUE!</v>
      </c>
      <c r="I196" t="e">
        <f>#VALUE!</f>
        <v>#VALUE!</v>
      </c>
      <c r="J196" t="e">
        <f>#VALUE!</f>
        <v>#VALUE!</v>
      </c>
      <c r="K196" t="e">
        <f>#VALUE!</f>
        <v>#VALUE!</v>
      </c>
      <c r="L196" t="e">
        <f>#VALUE!</f>
        <v>#VALUE!</v>
      </c>
      <c r="M196" t="e">
        <f>#VALUE!</f>
        <v>#VALUE!</v>
      </c>
      <c r="N196" t="e">
        <f>#VALUE!</f>
        <v>#VALUE!</v>
      </c>
      <c r="O196">
        <v>0.2</v>
      </c>
      <c r="P196">
        <v>0.2</v>
      </c>
      <c r="Q196">
        <v>0.1</v>
      </c>
      <c r="R196">
        <v>0.1</v>
      </c>
      <c r="S196">
        <v>0.1</v>
      </c>
      <c r="T196">
        <v>0.1</v>
      </c>
      <c r="U196">
        <v>0.1</v>
      </c>
      <c r="V196">
        <v>0.1</v>
      </c>
      <c r="W196">
        <v>0.1</v>
      </c>
      <c r="X196">
        <v>0.1</v>
      </c>
      <c r="Y196">
        <v>0.05</v>
      </c>
      <c r="Z196">
        <v>0.05</v>
      </c>
    </row>
    <row r="197" spans="4:26" ht="12.75">
      <c r="D197">
        <v>1</v>
      </c>
      <c r="E197" t="e">
        <f>#VALUE!</f>
        <v>#VALUE!</v>
      </c>
      <c r="F197" t="e">
        <f>#VALUE!</f>
        <v>#VALUE!</v>
      </c>
      <c r="G197" t="e">
        <f>#VALUE!</f>
        <v>#VALUE!</v>
      </c>
      <c r="H197" t="e">
        <f>#VALUE!</f>
        <v>#VALUE!</v>
      </c>
      <c r="I197" t="e">
        <f>#VALUE!</f>
        <v>#VALUE!</v>
      </c>
      <c r="J197" t="e">
        <f>#VALUE!</f>
        <v>#VALUE!</v>
      </c>
      <c r="K197" t="e">
        <f>#VALUE!</f>
        <v>#VALUE!</v>
      </c>
      <c r="L197" t="e">
        <f>#VALUE!</f>
        <v>#VALUE!</v>
      </c>
      <c r="M197" t="e">
        <f>#VALUE!</f>
        <v>#VALUE!</v>
      </c>
      <c r="N197" t="e">
        <f>#VALUE!</f>
        <v>#VALUE!</v>
      </c>
      <c r="O197">
        <v>2</v>
      </c>
      <c r="P197">
        <v>2</v>
      </c>
      <c r="Q197">
        <v>1</v>
      </c>
      <c r="R197">
        <v>1</v>
      </c>
      <c r="S197">
        <v>0.5</v>
      </c>
      <c r="T197">
        <v>0.5</v>
      </c>
      <c r="U197">
        <v>0.25</v>
      </c>
      <c r="V197">
        <v>0.25</v>
      </c>
      <c r="W197">
        <v>0.1</v>
      </c>
      <c r="X197">
        <v>0.1</v>
      </c>
      <c r="Y197">
        <v>0.05</v>
      </c>
      <c r="Z197">
        <v>0.05</v>
      </c>
    </row>
    <row r="198" spans="4:26" ht="12.75">
      <c r="D198">
        <v>2</v>
      </c>
      <c r="E198" t="e">
        <f>#VALUE!</f>
        <v>#VALUE!</v>
      </c>
      <c r="F198" t="e">
        <f>#VALUE!</f>
        <v>#VALUE!</v>
      </c>
      <c r="G198" t="e">
        <f>#VALUE!</f>
        <v>#VALUE!</v>
      </c>
      <c r="H198" t="e">
        <f>#VALUE!</f>
        <v>#VALUE!</v>
      </c>
      <c r="I198" t="e">
        <f>#VALUE!</f>
        <v>#VALUE!</v>
      </c>
      <c r="J198" t="e">
        <f>#VALUE!</f>
        <v>#VALUE!</v>
      </c>
      <c r="K198" t="e">
        <f>#VALUE!</f>
        <v>#VALUE!</v>
      </c>
      <c r="L198" t="e">
        <f>#VALUE!</f>
        <v>#VALUE!</v>
      </c>
      <c r="M198" t="e">
        <f>#VALUE!</f>
        <v>#VALUE!</v>
      </c>
      <c r="N198" t="e">
        <f>#VALUE!</f>
        <v>#VALUE!</v>
      </c>
      <c r="O198">
        <v>20</v>
      </c>
      <c r="P198">
        <v>20</v>
      </c>
      <c r="Q198">
        <v>10</v>
      </c>
      <c r="R198">
        <v>10</v>
      </c>
      <c r="S198">
        <v>5</v>
      </c>
      <c r="T198">
        <v>5</v>
      </c>
      <c r="U198">
        <v>2.5</v>
      </c>
      <c r="V198">
        <v>2.5</v>
      </c>
      <c r="W198">
        <v>1</v>
      </c>
      <c r="X198">
        <v>1</v>
      </c>
      <c r="Y198">
        <v>0.5</v>
      </c>
      <c r="Z198">
        <v>0.5</v>
      </c>
    </row>
    <row r="199" spans="4:26" ht="12.75">
      <c r="D199">
        <v>3</v>
      </c>
      <c r="E199" t="e">
        <f>#VALUE!</f>
        <v>#VALUE!</v>
      </c>
      <c r="F199" t="e">
        <f>#VALUE!</f>
        <v>#VALUE!</v>
      </c>
      <c r="G199" t="e">
        <f>#VALUE!</f>
        <v>#VALUE!</v>
      </c>
      <c r="H199" t="e">
        <f>#VALUE!</f>
        <v>#VALUE!</v>
      </c>
      <c r="I199" t="e">
        <f>#VALUE!</f>
        <v>#VALUE!</v>
      </c>
      <c r="J199" t="e">
        <f>#VALUE!</f>
        <v>#VALUE!</v>
      </c>
      <c r="K199" t="e">
        <f>#VALUE!</f>
        <v>#VALUE!</v>
      </c>
      <c r="L199" t="e">
        <f>#VALUE!</f>
        <v>#VALUE!</v>
      </c>
      <c r="M199" t="e">
        <f>#VALUE!</f>
        <v>#VALUE!</v>
      </c>
      <c r="N199" t="e">
        <f>#VALUE!</f>
        <v>#VALUE!</v>
      </c>
      <c r="O199">
        <v>200</v>
      </c>
      <c r="P199">
        <v>200</v>
      </c>
      <c r="Q199">
        <v>100</v>
      </c>
      <c r="R199">
        <v>100</v>
      </c>
      <c r="S199">
        <v>50</v>
      </c>
      <c r="T199">
        <v>50</v>
      </c>
      <c r="U199">
        <v>25</v>
      </c>
      <c r="V199">
        <v>25</v>
      </c>
      <c r="W199">
        <v>10</v>
      </c>
      <c r="X199">
        <v>10</v>
      </c>
      <c r="Y199">
        <v>5</v>
      </c>
      <c r="Z199">
        <v>5</v>
      </c>
    </row>
    <row r="200" spans="4:26" ht="12.75">
      <c r="D200">
        <v>4</v>
      </c>
      <c r="E200" t="e">
        <f>#VALUE!</f>
        <v>#VALUE!</v>
      </c>
      <c r="F200" t="e">
        <f>#VALUE!</f>
        <v>#VALUE!</v>
      </c>
      <c r="G200" t="e">
        <f>#VALUE!</f>
        <v>#VALUE!</v>
      </c>
      <c r="H200" t="e">
        <f>#VALUE!</f>
        <v>#VALUE!</v>
      </c>
      <c r="I200" t="e">
        <f>#VALUE!</f>
        <v>#VALUE!</v>
      </c>
      <c r="J200" t="e">
        <f>#VALUE!</f>
        <v>#VALUE!</v>
      </c>
      <c r="K200" t="e">
        <f>#VALUE!</f>
        <v>#VALUE!</v>
      </c>
      <c r="L200" t="e">
        <f>#VALUE!</f>
        <v>#VALUE!</v>
      </c>
      <c r="M200" t="e">
        <f>#VALUE!</f>
        <v>#VALUE!</v>
      </c>
      <c r="N200" t="e">
        <f>#VALUE!</f>
        <v>#VALUE!</v>
      </c>
      <c r="O200">
        <v>2000</v>
      </c>
      <c r="P200">
        <v>2000</v>
      </c>
      <c r="Q200">
        <v>1000</v>
      </c>
      <c r="R200">
        <v>1000</v>
      </c>
      <c r="S200">
        <v>500</v>
      </c>
      <c r="T200">
        <v>500</v>
      </c>
      <c r="U200">
        <v>250</v>
      </c>
      <c r="V200">
        <v>250</v>
      </c>
      <c r="W200">
        <v>100</v>
      </c>
      <c r="X200">
        <v>100</v>
      </c>
      <c r="Y200">
        <v>50</v>
      </c>
      <c r="Z200">
        <v>50</v>
      </c>
    </row>
    <row r="201" spans="4:26" ht="12.75">
      <c r="D201">
        <v>5</v>
      </c>
      <c r="E201" t="e">
        <f>#VALUE!</f>
        <v>#VALUE!</v>
      </c>
      <c r="F201" t="e">
        <f>#VALUE!</f>
        <v>#VALUE!</v>
      </c>
      <c r="G201" t="e">
        <f>#VALUE!</f>
        <v>#VALUE!</v>
      </c>
      <c r="H201" t="e">
        <f>#VALUE!</f>
        <v>#VALUE!</v>
      </c>
      <c r="I201" t="e">
        <f>#VALUE!</f>
        <v>#VALUE!</v>
      </c>
      <c r="J201" t="e">
        <f>#VALUE!</f>
        <v>#VALUE!</v>
      </c>
      <c r="K201" t="e">
        <f>#VALUE!</f>
        <v>#VALUE!</v>
      </c>
      <c r="L201" t="e">
        <f>#VALUE!</f>
        <v>#VALUE!</v>
      </c>
      <c r="M201" t="e">
        <f>#VALUE!</f>
        <v>#VALUE!</v>
      </c>
      <c r="N201" t="e">
        <f>#VALUE!</f>
        <v>#VALUE!</v>
      </c>
      <c r="O201">
        <v>20000</v>
      </c>
      <c r="P201">
        <v>20000</v>
      </c>
      <c r="Q201">
        <v>10000</v>
      </c>
      <c r="R201">
        <v>10000</v>
      </c>
      <c r="S201">
        <v>5000</v>
      </c>
      <c r="T201">
        <v>5000</v>
      </c>
      <c r="U201">
        <v>2500</v>
      </c>
      <c r="V201">
        <v>2500</v>
      </c>
      <c r="W201">
        <v>1000</v>
      </c>
      <c r="X201">
        <v>1000</v>
      </c>
      <c r="Y201">
        <v>500</v>
      </c>
      <c r="Z201">
        <v>500</v>
      </c>
    </row>
    <row r="202" spans="4:26" ht="12.75">
      <c r="D202">
        <v>6</v>
      </c>
      <c r="E202" t="e">
        <f>#VALUE!</f>
        <v>#VALUE!</v>
      </c>
      <c r="F202" t="e">
        <f>#VALUE!</f>
        <v>#VALUE!</v>
      </c>
      <c r="G202" t="e">
        <f>#VALUE!</f>
        <v>#VALUE!</v>
      </c>
      <c r="H202" t="e">
        <f>#VALUE!</f>
        <v>#VALUE!</v>
      </c>
      <c r="I202" t="e">
        <f>#VALUE!</f>
        <v>#VALUE!</v>
      </c>
      <c r="J202" t="e">
        <f>#VALUE!</f>
        <v>#VALUE!</v>
      </c>
      <c r="K202" t="e">
        <f>#VALUE!</f>
        <v>#VALUE!</v>
      </c>
      <c r="L202" t="e">
        <f>#VALUE!</f>
        <v>#VALUE!</v>
      </c>
      <c r="M202" t="e">
        <f>#VALUE!</f>
        <v>#VALUE!</v>
      </c>
      <c r="N202" t="e">
        <f>#VALUE!</f>
        <v>#VALUE!</v>
      </c>
      <c r="O202">
        <v>200000</v>
      </c>
      <c r="P202">
        <v>200000</v>
      </c>
      <c r="Q202">
        <v>100000</v>
      </c>
      <c r="R202">
        <v>100000</v>
      </c>
      <c r="S202">
        <v>50000</v>
      </c>
      <c r="T202">
        <v>50000</v>
      </c>
      <c r="U202">
        <v>25000</v>
      </c>
      <c r="V202">
        <v>25000</v>
      </c>
      <c r="W202">
        <v>10000</v>
      </c>
      <c r="X202">
        <v>10000</v>
      </c>
      <c r="Y202">
        <v>5000</v>
      </c>
      <c r="Z202">
        <v>5000</v>
      </c>
    </row>
    <row r="203" spans="4:26" ht="12.75">
      <c r="D203">
        <v>7</v>
      </c>
      <c r="E203" t="e">
        <f>#VALUE!</f>
        <v>#VALUE!</v>
      </c>
      <c r="F203" t="e">
        <f>#VALUE!</f>
        <v>#VALUE!</v>
      </c>
      <c r="G203" t="e">
        <f>#VALUE!</f>
        <v>#VALUE!</v>
      </c>
      <c r="H203" t="e">
        <f>#VALUE!</f>
        <v>#VALUE!</v>
      </c>
      <c r="I203" t="e">
        <f>#VALUE!</f>
        <v>#VALUE!</v>
      </c>
      <c r="J203" t="e">
        <f>#VALUE!</f>
        <v>#VALUE!</v>
      </c>
      <c r="K203" t="e">
        <f>#VALUE!</f>
        <v>#VALUE!</v>
      </c>
      <c r="L203" t="e">
        <f>#VALUE!</f>
        <v>#VALUE!</v>
      </c>
      <c r="M203" t="e">
        <f>#VALUE!</f>
        <v>#VALUE!</v>
      </c>
      <c r="N203" t="e">
        <f>#VALUE!</f>
        <v>#VALUE!</v>
      </c>
      <c r="O203" t="e">
        <f>#VALUE!</f>
        <v>#VALUE!</v>
      </c>
      <c r="P203" t="e">
        <f>#VALUE!</f>
        <v>#VALUE!</v>
      </c>
      <c r="Q203">
        <v>1000000</v>
      </c>
      <c r="R203">
        <v>1000000</v>
      </c>
      <c r="S203">
        <v>500000</v>
      </c>
      <c r="T203">
        <v>500000</v>
      </c>
      <c r="U203">
        <v>250000</v>
      </c>
      <c r="V203">
        <v>250000</v>
      </c>
      <c r="W203">
        <v>100000</v>
      </c>
      <c r="X203">
        <v>100000</v>
      </c>
      <c r="Y203">
        <v>50000</v>
      </c>
      <c r="Z203">
        <v>50000</v>
      </c>
    </row>
    <row r="205" spans="4:26" ht="12.75">
      <c r="D205" s="14" t="s">
        <v>1369</v>
      </c>
      <c r="E205">
        <v>0</v>
      </c>
      <c r="F205">
        <v>1</v>
      </c>
      <c r="G205">
        <v>2</v>
      </c>
      <c r="H205">
        <v>3</v>
      </c>
      <c r="I205">
        <v>4</v>
      </c>
      <c r="J205">
        <v>5</v>
      </c>
      <c r="K205">
        <v>6</v>
      </c>
      <c r="L205">
        <v>7</v>
      </c>
      <c r="M205">
        <v>8</v>
      </c>
      <c r="N205">
        <v>9</v>
      </c>
      <c r="O205">
        <v>10</v>
      </c>
      <c r="P205">
        <v>11</v>
      </c>
      <c r="Q205">
        <v>12</v>
      </c>
      <c r="R205">
        <v>13</v>
      </c>
      <c r="S205">
        <v>14</v>
      </c>
      <c r="T205">
        <v>15</v>
      </c>
      <c r="U205">
        <v>16</v>
      </c>
      <c r="V205">
        <v>17</v>
      </c>
      <c r="W205">
        <v>18</v>
      </c>
      <c r="X205">
        <v>19</v>
      </c>
      <c r="Y205">
        <v>20</v>
      </c>
      <c r="Z205">
        <v>21</v>
      </c>
    </row>
    <row r="206" spans="4:26" ht="12.75">
      <c r="D206">
        <v>0</v>
      </c>
      <c r="E206" t="e">
        <f>#VALUE!</f>
        <v>#VALUE!</v>
      </c>
      <c r="F206" t="e">
        <f>#VALUE!</f>
        <v>#VALUE!</v>
      </c>
      <c r="G206" t="e">
        <f>#VALUE!</f>
        <v>#VALUE!</v>
      </c>
      <c r="H206" t="e">
        <f>#VALUE!</f>
        <v>#VALUE!</v>
      </c>
      <c r="I206" t="e">
        <f>#VALUE!</f>
        <v>#VALUE!</v>
      </c>
      <c r="J206" t="e">
        <f>#VALUE!</f>
        <v>#VALUE!</v>
      </c>
      <c r="K206" t="e">
        <f>#VALUE!</f>
        <v>#VALUE!</v>
      </c>
      <c r="L206" t="e">
        <f>#VALUE!</f>
        <v>#VALUE!</v>
      </c>
      <c r="M206">
        <v>0.04</v>
      </c>
      <c r="N206">
        <v>0.01</v>
      </c>
      <c r="O206">
        <v>0.008</v>
      </c>
      <c r="P206">
        <v>0.008</v>
      </c>
      <c r="Q206">
        <v>0.008</v>
      </c>
      <c r="R206">
        <v>0.008</v>
      </c>
      <c r="S206">
        <v>0.006</v>
      </c>
      <c r="T206">
        <v>0.006</v>
      </c>
      <c r="U206">
        <v>0.003</v>
      </c>
      <c r="V206">
        <v>0.003</v>
      </c>
      <c r="W206">
        <v>0.001</v>
      </c>
      <c r="X206">
        <v>0.001</v>
      </c>
      <c r="Y206">
        <v>0.0005</v>
      </c>
      <c r="Z206">
        <v>0.0005</v>
      </c>
    </row>
    <row r="207" spans="4:26" ht="12.75">
      <c r="D207">
        <v>1</v>
      </c>
      <c r="E207" t="e">
        <f>#VALUE!</f>
        <v>#VALUE!</v>
      </c>
      <c r="F207" t="e">
        <f>#VALUE!</f>
        <v>#VALUE!</v>
      </c>
      <c r="G207" t="e">
        <f>#VALUE!</f>
        <v>#VALUE!</v>
      </c>
      <c r="H207" t="e">
        <f>#VALUE!</f>
        <v>#VALUE!</v>
      </c>
      <c r="I207" t="e">
        <f>#VALUE!</f>
        <v>#VALUE!</v>
      </c>
      <c r="J207" t="e">
        <f>#VALUE!</f>
        <v>#VALUE!</v>
      </c>
      <c r="K207" t="e">
        <f>#VALUE!</f>
        <v>#VALUE!</v>
      </c>
      <c r="L207" t="e">
        <f>#VALUE!</f>
        <v>#VALUE!</v>
      </c>
      <c r="M207">
        <v>0.08</v>
      </c>
      <c r="N207">
        <v>0.02</v>
      </c>
      <c r="O207">
        <v>0.008</v>
      </c>
      <c r="P207">
        <v>0.008</v>
      </c>
      <c r="Q207">
        <v>0.008</v>
      </c>
      <c r="R207">
        <v>0.008</v>
      </c>
      <c r="S207">
        <v>0.006</v>
      </c>
      <c r="T207">
        <v>0.006</v>
      </c>
      <c r="U207">
        <v>0.003</v>
      </c>
      <c r="V207">
        <v>0.003</v>
      </c>
      <c r="W207">
        <v>0.001</v>
      </c>
      <c r="X207">
        <v>0.001</v>
      </c>
      <c r="Y207">
        <v>0.0005</v>
      </c>
      <c r="Z207">
        <v>0.0005</v>
      </c>
    </row>
    <row r="208" spans="4:26" ht="12.75">
      <c r="D208">
        <v>2</v>
      </c>
      <c r="E208" t="e">
        <f>#VALUE!</f>
        <v>#VALUE!</v>
      </c>
      <c r="F208" t="e">
        <f>#VALUE!</f>
        <v>#VALUE!</v>
      </c>
      <c r="G208" t="e">
        <f>#VALUE!</f>
        <v>#VALUE!</v>
      </c>
      <c r="H208" t="e">
        <f>#VALUE!</f>
        <v>#VALUE!</v>
      </c>
      <c r="I208" t="e">
        <f>#VALUE!</f>
        <v>#VALUE!</v>
      </c>
      <c r="J208" t="e">
        <f>#VALUE!</f>
        <v>#VALUE!</v>
      </c>
      <c r="K208" t="e">
        <f>#VALUE!</f>
        <v>#VALUE!</v>
      </c>
      <c r="L208" t="e">
        <f>#VALUE!</f>
        <v>#VALUE!</v>
      </c>
      <c r="M208">
        <v>0.15</v>
      </c>
      <c r="N208">
        <v>0.03</v>
      </c>
      <c r="O208">
        <v>0.015</v>
      </c>
      <c r="P208">
        <v>0.015</v>
      </c>
      <c r="Q208">
        <v>0.008</v>
      </c>
      <c r="R208">
        <v>0.008</v>
      </c>
      <c r="S208">
        <v>0.006</v>
      </c>
      <c r="T208">
        <v>0.006</v>
      </c>
      <c r="U208">
        <v>0.003</v>
      </c>
      <c r="V208">
        <v>0.003</v>
      </c>
      <c r="W208">
        <v>0.001</v>
      </c>
      <c r="X208">
        <v>0.001</v>
      </c>
      <c r="Y208">
        <v>0.0005</v>
      </c>
      <c r="Z208">
        <v>0.0005</v>
      </c>
    </row>
    <row r="209" spans="4:26" ht="12.75">
      <c r="D209">
        <v>3</v>
      </c>
      <c r="E209" t="e">
        <f>#VALUE!</f>
        <v>#VALUE!</v>
      </c>
      <c r="F209" t="e">
        <f>#VALUE!</f>
        <v>#VALUE!</v>
      </c>
      <c r="G209" t="e">
        <f>#VALUE!</f>
        <v>#VALUE!</v>
      </c>
      <c r="H209" t="e">
        <f>#VALUE!</f>
        <v>#VALUE!</v>
      </c>
      <c r="I209" t="e">
        <f>#VALUE!</f>
        <v>#VALUE!</v>
      </c>
      <c r="J209" t="e">
        <f>#VALUE!</f>
        <v>#VALUE!</v>
      </c>
      <c r="K209" t="e">
        <f>#VALUE!</f>
        <v>#VALUE!</v>
      </c>
      <c r="L209" t="e">
        <f>#VALUE!</f>
        <v>#VALUE!</v>
      </c>
      <c r="M209">
        <v>0.3</v>
      </c>
      <c r="N209">
        <v>0.06</v>
      </c>
      <c r="O209">
        <v>0.03</v>
      </c>
      <c r="P209">
        <v>0.03</v>
      </c>
      <c r="Q209">
        <v>0.015</v>
      </c>
      <c r="R209">
        <v>0.015</v>
      </c>
      <c r="S209">
        <v>0.006</v>
      </c>
      <c r="T209">
        <v>0.006</v>
      </c>
      <c r="U209">
        <v>0.003</v>
      </c>
      <c r="V209">
        <v>0.003</v>
      </c>
      <c r="W209">
        <v>0.001</v>
      </c>
      <c r="X209">
        <v>0.001</v>
      </c>
      <c r="Y209">
        <v>0.0005</v>
      </c>
      <c r="Z209">
        <v>0.0005</v>
      </c>
    </row>
    <row r="210" spans="4:26" ht="12.75">
      <c r="D210">
        <v>4</v>
      </c>
      <c r="E210" t="e">
        <f>#VALUE!</f>
        <v>#VALUE!</v>
      </c>
      <c r="F210" t="e">
        <f>#VALUE!</f>
        <v>#VALUE!</v>
      </c>
      <c r="G210" t="e">
        <f>#VALUE!</f>
        <v>#VALUE!</v>
      </c>
      <c r="H210" t="e">
        <f>#VALUE!</f>
        <v>#VALUE!</v>
      </c>
      <c r="I210" t="e">
        <f>#VALUE!</f>
        <v>#VALUE!</v>
      </c>
      <c r="J210" t="e">
        <f>#VALUE!</f>
        <v>#VALUE!</v>
      </c>
      <c r="K210" t="e">
        <f>#VALUE!</f>
        <v>#VALUE!</v>
      </c>
      <c r="L210" t="e">
        <f>#VALUE!</f>
        <v>#VALUE!</v>
      </c>
      <c r="M210">
        <v>0.63</v>
      </c>
      <c r="N210">
        <v>0.13</v>
      </c>
      <c r="O210">
        <v>0.063</v>
      </c>
      <c r="P210">
        <v>0.063</v>
      </c>
      <c r="Q210">
        <v>0.03</v>
      </c>
      <c r="R210">
        <v>0.03</v>
      </c>
      <c r="S210">
        <v>0.013</v>
      </c>
      <c r="T210">
        <v>0.013</v>
      </c>
      <c r="U210">
        <v>0.006</v>
      </c>
      <c r="V210">
        <v>0.006</v>
      </c>
      <c r="W210">
        <v>0.002</v>
      </c>
      <c r="X210">
        <v>0.002</v>
      </c>
      <c r="Y210">
        <v>0.001</v>
      </c>
      <c r="Z210">
        <v>0.001</v>
      </c>
    </row>
    <row r="211" spans="4:26" ht="12.75">
      <c r="D211">
        <v>5</v>
      </c>
      <c r="E211" t="e">
        <f>#VALUE!</f>
        <v>#VALUE!</v>
      </c>
      <c r="F211" t="e">
        <f>#VALUE!</f>
        <v>#VALUE!</v>
      </c>
      <c r="G211" t="e">
        <f>#VALUE!</f>
        <v>#VALUE!</v>
      </c>
      <c r="H211" t="e">
        <f>#VALUE!</f>
        <v>#VALUE!</v>
      </c>
      <c r="I211" t="e">
        <f>#VALUE!</f>
        <v>#VALUE!</v>
      </c>
      <c r="J211" t="e">
        <f>#VALUE!</f>
        <v>#VALUE!</v>
      </c>
      <c r="K211" t="e">
        <f>#VALUE!</f>
        <v>#VALUE!</v>
      </c>
      <c r="L211" t="e">
        <f>#VALUE!</f>
        <v>#VALUE!</v>
      </c>
      <c r="M211">
        <v>1.25</v>
      </c>
      <c r="N211">
        <v>0.25</v>
      </c>
      <c r="O211">
        <v>0.125</v>
      </c>
      <c r="P211">
        <v>0.125</v>
      </c>
      <c r="Q211">
        <v>0.063</v>
      </c>
      <c r="R211">
        <v>0.063</v>
      </c>
      <c r="S211">
        <v>0.025</v>
      </c>
      <c r="T211">
        <v>0.025</v>
      </c>
      <c r="U211">
        <v>0.012</v>
      </c>
      <c r="V211">
        <v>0.012</v>
      </c>
      <c r="W211">
        <v>0.006</v>
      </c>
      <c r="X211">
        <v>0.006</v>
      </c>
      <c r="Y211">
        <v>0.003</v>
      </c>
      <c r="Z211">
        <v>0.003</v>
      </c>
    </row>
    <row r="212" spans="4:26" ht="12.75">
      <c r="D212">
        <v>6</v>
      </c>
      <c r="E212" t="e">
        <f>#VALUE!</f>
        <v>#VALUE!</v>
      </c>
      <c r="F212" t="e">
        <f>#VALUE!</f>
        <v>#VALUE!</v>
      </c>
      <c r="G212" t="e">
        <f>#VALUE!</f>
        <v>#VALUE!</v>
      </c>
      <c r="H212" t="e">
        <f>#VALUE!</f>
        <v>#VALUE!</v>
      </c>
      <c r="I212" t="e">
        <f>#VALUE!</f>
        <v>#VALUE!</v>
      </c>
      <c r="J212" t="e">
        <f>#VALUE!</f>
        <v>#VALUE!</v>
      </c>
      <c r="K212" t="e">
        <f>#VALUE!</f>
        <v>#VALUE!</v>
      </c>
      <c r="L212" t="e">
        <f>#VALUE!</f>
        <v>#VALUE!</v>
      </c>
      <c r="M212">
        <v>2.5</v>
      </c>
      <c r="N212">
        <v>0.5</v>
      </c>
      <c r="O212">
        <v>0.25</v>
      </c>
      <c r="P212">
        <v>0.25</v>
      </c>
      <c r="Q212">
        <v>0.125</v>
      </c>
      <c r="R212">
        <v>0.125</v>
      </c>
      <c r="S212">
        <v>0.05</v>
      </c>
      <c r="T212">
        <v>0.05</v>
      </c>
      <c r="U212">
        <v>0.025</v>
      </c>
      <c r="V212">
        <v>0.025</v>
      </c>
      <c r="W212">
        <v>0.012</v>
      </c>
      <c r="X212">
        <v>0.012</v>
      </c>
      <c r="Y212">
        <v>0.006</v>
      </c>
      <c r="Z212">
        <v>0.006</v>
      </c>
    </row>
    <row r="213" spans="4:26" ht="12.75">
      <c r="D213">
        <v>7</v>
      </c>
      <c r="E213" t="e">
        <f>#VALUE!</f>
        <v>#VALUE!</v>
      </c>
      <c r="F213" t="e">
        <f>#VALUE!</f>
        <v>#VALUE!</v>
      </c>
      <c r="G213" t="e">
        <f>#VALUE!</f>
        <v>#VALUE!</v>
      </c>
      <c r="H213" t="e">
        <f>#VALUE!</f>
        <v>#VALUE!</v>
      </c>
      <c r="I213" t="e">
        <f>#VALUE!</f>
        <v>#VALUE!</v>
      </c>
      <c r="J213" t="e">
        <f>#VALUE!</f>
        <v>#VALUE!</v>
      </c>
      <c r="K213" t="e">
        <f>#VALUE!</f>
        <v>#VALUE!</v>
      </c>
      <c r="L213" t="e">
        <f>#VALUE!</f>
        <v>#VALUE!</v>
      </c>
      <c r="M213">
        <v>5</v>
      </c>
      <c r="N213">
        <v>1</v>
      </c>
      <c r="O213">
        <v>0.5</v>
      </c>
      <c r="P213">
        <v>0.5</v>
      </c>
      <c r="Q213">
        <v>0.25</v>
      </c>
      <c r="R213">
        <v>0.25</v>
      </c>
      <c r="S213">
        <v>0.1</v>
      </c>
      <c r="T213">
        <v>0.1</v>
      </c>
      <c r="U213">
        <v>0.05</v>
      </c>
      <c r="V213">
        <v>0.05</v>
      </c>
      <c r="W213">
        <v>0.025</v>
      </c>
      <c r="X213">
        <v>0.025</v>
      </c>
      <c r="Y213">
        <v>0.001</v>
      </c>
      <c r="Z213">
        <v>0.001</v>
      </c>
    </row>
    <row r="214" spans="4:26" ht="12.75">
      <c r="D214">
        <v>8</v>
      </c>
      <c r="E214" t="e">
        <f>#VALUE!</f>
        <v>#VALUE!</v>
      </c>
      <c r="F214" t="e">
        <f>#VALUE!</f>
        <v>#VALUE!</v>
      </c>
      <c r="G214" t="e">
        <f>#VALUE!</f>
        <v>#VALUE!</v>
      </c>
      <c r="H214" t="e">
        <f>#VALUE!</f>
        <v>#VALUE!</v>
      </c>
      <c r="I214" t="e">
        <f>#VALUE!</f>
        <v>#VALUE!</v>
      </c>
      <c r="J214" t="e">
        <f>#VALUE!</f>
        <v>#VALUE!</v>
      </c>
      <c r="K214" t="e">
        <f>#VALUE!</f>
        <v>#VALUE!</v>
      </c>
      <c r="L214" t="e">
        <f>#VALUE!</f>
        <v>#VALUE!</v>
      </c>
      <c r="M214">
        <v>50</v>
      </c>
      <c r="N214">
        <v>10</v>
      </c>
      <c r="O214">
        <v>5</v>
      </c>
      <c r="P214">
        <v>5</v>
      </c>
      <c r="Q214">
        <v>2.5</v>
      </c>
      <c r="R214">
        <v>2.5</v>
      </c>
      <c r="S214">
        <v>1</v>
      </c>
      <c r="T214">
        <v>1</v>
      </c>
      <c r="U214">
        <v>0.5</v>
      </c>
      <c r="V214">
        <v>0.5</v>
      </c>
      <c r="W214">
        <v>0.25</v>
      </c>
      <c r="X214">
        <v>0.25</v>
      </c>
      <c r="Y214">
        <v>0.01</v>
      </c>
      <c r="Z214">
        <v>0.01</v>
      </c>
    </row>
    <row r="215" spans="4:26" ht="12.75">
      <c r="D215">
        <v>9</v>
      </c>
      <c r="E215" t="e">
        <f>#VALUE!</f>
        <v>#VALUE!</v>
      </c>
      <c r="F215" t="e">
        <f>#VALUE!</f>
        <v>#VALUE!</v>
      </c>
      <c r="G215" t="e">
        <f>#VALUE!</f>
        <v>#VALUE!</v>
      </c>
      <c r="H215" t="e">
        <f>#VALUE!</f>
        <v>#VALUE!</v>
      </c>
      <c r="I215" t="e">
        <f>#VALUE!</f>
        <v>#VALUE!</v>
      </c>
      <c r="J215" t="e">
        <f>#VALUE!</f>
        <v>#VALUE!</v>
      </c>
      <c r="K215" t="e">
        <f>#VALUE!</f>
        <v>#VALUE!</v>
      </c>
      <c r="L215" t="e">
        <f>#VALUE!</f>
        <v>#VALUE!</v>
      </c>
      <c r="M215">
        <v>500</v>
      </c>
      <c r="N215">
        <v>100</v>
      </c>
      <c r="O215">
        <v>50</v>
      </c>
      <c r="P215">
        <v>50</v>
      </c>
      <c r="Q215">
        <v>25</v>
      </c>
      <c r="R215">
        <v>25</v>
      </c>
      <c r="S215">
        <v>10</v>
      </c>
      <c r="T215">
        <v>10</v>
      </c>
      <c r="U215">
        <v>5</v>
      </c>
      <c r="V215">
        <v>5</v>
      </c>
      <c r="W215">
        <v>2.5</v>
      </c>
      <c r="X215">
        <v>2.5</v>
      </c>
      <c r="Y215">
        <v>1</v>
      </c>
      <c r="Z215">
        <v>1</v>
      </c>
    </row>
    <row r="216" spans="4:26" ht="12.75">
      <c r="D216">
        <v>10</v>
      </c>
      <c r="E216" t="e">
        <f>#VALUE!</f>
        <v>#VALUE!</v>
      </c>
      <c r="F216" t="e">
        <f>#VALUE!</f>
        <v>#VALUE!</v>
      </c>
      <c r="G216" t="e">
        <f>#VALUE!</f>
        <v>#VALUE!</v>
      </c>
      <c r="H216" t="e">
        <f>#VALUE!</f>
        <v>#VALUE!</v>
      </c>
      <c r="I216" t="e">
        <f>#VALUE!</f>
        <v>#VALUE!</v>
      </c>
      <c r="J216" t="e">
        <f>#VALUE!</f>
        <v>#VALUE!</v>
      </c>
      <c r="K216" t="e">
        <f>#VALUE!</f>
        <v>#VALUE!</v>
      </c>
      <c r="L216" t="e">
        <f>#VALUE!</f>
        <v>#VALUE!</v>
      </c>
      <c r="M216">
        <v>5000</v>
      </c>
      <c r="N216">
        <v>1000</v>
      </c>
      <c r="O216">
        <v>500</v>
      </c>
      <c r="P216">
        <v>500</v>
      </c>
      <c r="Q216">
        <v>250</v>
      </c>
      <c r="R216">
        <v>250</v>
      </c>
      <c r="S216">
        <v>100</v>
      </c>
      <c r="T216">
        <v>100</v>
      </c>
      <c r="U216">
        <v>50</v>
      </c>
      <c r="V216">
        <v>50</v>
      </c>
      <c r="W216">
        <v>25</v>
      </c>
      <c r="X216">
        <v>25</v>
      </c>
      <c r="Y216">
        <v>10</v>
      </c>
      <c r="Z216">
        <v>10</v>
      </c>
    </row>
    <row r="217" spans="4:26" ht="12.75">
      <c r="D217">
        <v>11</v>
      </c>
      <c r="E217" t="e">
        <f>#VALUE!</f>
        <v>#VALUE!</v>
      </c>
      <c r="F217" t="e">
        <f>#VALUE!</f>
        <v>#VALUE!</v>
      </c>
      <c r="G217" t="e">
        <f>#VALUE!</f>
        <v>#VALUE!</v>
      </c>
      <c r="H217" t="e">
        <f>#VALUE!</f>
        <v>#VALUE!</v>
      </c>
      <c r="I217" t="e">
        <f>#VALUE!</f>
        <v>#VALUE!</v>
      </c>
      <c r="J217" t="e">
        <f>#VALUE!</f>
        <v>#VALUE!</v>
      </c>
      <c r="K217" t="e">
        <f>#VALUE!</f>
        <v>#VALUE!</v>
      </c>
      <c r="L217" t="e">
        <f>#VALUE!</f>
        <v>#VALUE!</v>
      </c>
      <c r="M217">
        <v>50000</v>
      </c>
      <c r="N217">
        <v>10000</v>
      </c>
      <c r="O217">
        <v>5000</v>
      </c>
      <c r="P217">
        <v>5000</v>
      </c>
      <c r="Q217">
        <v>2500</v>
      </c>
      <c r="R217">
        <v>2500</v>
      </c>
      <c r="S217">
        <v>1000</v>
      </c>
      <c r="T217">
        <v>1000</v>
      </c>
      <c r="U217">
        <v>500</v>
      </c>
      <c r="V217">
        <v>500</v>
      </c>
      <c r="W217">
        <v>250</v>
      </c>
      <c r="X217">
        <v>250</v>
      </c>
      <c r="Y217">
        <v>100</v>
      </c>
      <c r="Z217">
        <v>100</v>
      </c>
    </row>
    <row r="218" spans="4:26" ht="12.75">
      <c r="D218">
        <v>12</v>
      </c>
      <c r="E218" t="e">
        <f>#VALUE!</f>
        <v>#VALUE!</v>
      </c>
      <c r="F218" t="e">
        <f>#VALUE!</f>
        <v>#VALUE!</v>
      </c>
      <c r="G218" t="e">
        <f>#VALUE!</f>
        <v>#VALUE!</v>
      </c>
      <c r="H218" t="e">
        <f>#VALUE!</f>
        <v>#VALUE!</v>
      </c>
      <c r="I218" t="e">
        <f>#VALUE!</f>
        <v>#VALUE!</v>
      </c>
      <c r="J218" t="e">
        <f>#VALUE!</f>
        <v>#VALUE!</v>
      </c>
      <c r="K218" t="e">
        <f>#VALUE!</f>
        <v>#VALUE!</v>
      </c>
      <c r="L218" t="e">
        <f>#VALUE!</f>
        <v>#VALUE!</v>
      </c>
      <c r="M218" t="e">
        <f>#VALUE!</f>
        <v>#VALUE!</v>
      </c>
      <c r="N218">
        <v>100000</v>
      </c>
      <c r="O218">
        <v>50000</v>
      </c>
      <c r="P218">
        <v>50000</v>
      </c>
      <c r="Q218">
        <v>25000</v>
      </c>
      <c r="R218">
        <v>25000</v>
      </c>
      <c r="S218">
        <v>10000</v>
      </c>
      <c r="T218">
        <v>10000</v>
      </c>
      <c r="U218">
        <v>5000</v>
      </c>
      <c r="V218">
        <v>5000</v>
      </c>
      <c r="W218">
        <v>2500</v>
      </c>
      <c r="X218">
        <v>2500</v>
      </c>
      <c r="Y218">
        <v>1000</v>
      </c>
      <c r="Z218">
        <v>1000</v>
      </c>
    </row>
    <row r="219" spans="4:26" ht="12.75">
      <c r="D219">
        <v>13</v>
      </c>
      <c r="E219" t="e">
        <f>#VALUE!</f>
        <v>#VALUE!</v>
      </c>
      <c r="F219" t="e">
        <f>#VALUE!</f>
        <v>#VALUE!</v>
      </c>
      <c r="G219" t="e">
        <f>#VALUE!</f>
        <v>#VALUE!</v>
      </c>
      <c r="H219" t="e">
        <f>#VALUE!</f>
        <v>#VALUE!</v>
      </c>
      <c r="I219" t="e">
        <f>#VALUE!</f>
        <v>#VALUE!</v>
      </c>
      <c r="J219" t="e">
        <f>#VALUE!</f>
        <v>#VALUE!</v>
      </c>
      <c r="K219" t="e">
        <f>#VALUE!</f>
        <v>#VALUE!</v>
      </c>
      <c r="L219" t="e">
        <f>#VALUE!</f>
        <v>#VALUE!</v>
      </c>
      <c r="M219" t="e">
        <f>#VALUE!</f>
        <v>#VALUE!</v>
      </c>
      <c r="N219">
        <v>1000000</v>
      </c>
      <c r="O219">
        <v>500000</v>
      </c>
      <c r="P219">
        <v>500000</v>
      </c>
      <c r="Q219">
        <v>250000</v>
      </c>
      <c r="R219">
        <v>250000</v>
      </c>
      <c r="S219">
        <v>100000</v>
      </c>
      <c r="T219">
        <v>100000</v>
      </c>
      <c r="U219">
        <v>50000</v>
      </c>
      <c r="V219">
        <v>50000</v>
      </c>
      <c r="W219">
        <v>25000</v>
      </c>
      <c r="X219">
        <v>25000</v>
      </c>
      <c r="Y219">
        <v>10000</v>
      </c>
      <c r="Z219">
        <v>10000</v>
      </c>
    </row>
    <row r="220" spans="4:26" ht="12.75">
      <c r="D220">
        <v>14</v>
      </c>
      <c r="E220" t="e">
        <f>#VALUE!</f>
        <v>#VALUE!</v>
      </c>
      <c r="F220" t="e">
        <f>#VALUE!</f>
        <v>#VALUE!</v>
      </c>
      <c r="G220" t="e">
        <f>#VALUE!</f>
        <v>#VALUE!</v>
      </c>
      <c r="H220" t="e">
        <f>#VALUE!</f>
        <v>#VALUE!</v>
      </c>
      <c r="I220" t="e">
        <f>#VALUE!</f>
        <v>#VALUE!</v>
      </c>
      <c r="J220" t="e">
        <f>#VALUE!</f>
        <v>#VALUE!</v>
      </c>
      <c r="K220" t="e">
        <f>#VALUE!</f>
        <v>#VALUE!</v>
      </c>
      <c r="L220" t="e">
        <f>#VALUE!</f>
        <v>#VALUE!</v>
      </c>
      <c r="M220" t="e">
        <f>#VALUE!</f>
        <v>#VALUE!</v>
      </c>
      <c r="N220" t="e">
        <f>#VALUE!</f>
        <v>#VALUE!</v>
      </c>
      <c r="O220" t="e">
        <f>#VALUE!</f>
        <v>#VALUE!</v>
      </c>
      <c r="P220" t="e">
        <f>#VALUE!</f>
        <v>#VALUE!</v>
      </c>
      <c r="Q220">
        <v>2500000</v>
      </c>
      <c r="R220">
        <v>2500000</v>
      </c>
      <c r="S220">
        <v>1000000</v>
      </c>
      <c r="T220">
        <v>1000000</v>
      </c>
      <c r="U220">
        <v>500000</v>
      </c>
      <c r="V220">
        <v>500000</v>
      </c>
      <c r="W220">
        <v>250000</v>
      </c>
      <c r="X220">
        <v>250000</v>
      </c>
      <c r="Y220">
        <v>100000</v>
      </c>
      <c r="Z220">
        <v>100000</v>
      </c>
    </row>
    <row r="222" spans="4:26" ht="12.75">
      <c r="D222" s="14" t="s">
        <v>847</v>
      </c>
      <c r="E222">
        <v>0</v>
      </c>
      <c r="F222">
        <v>1</v>
      </c>
      <c r="G222">
        <v>2</v>
      </c>
      <c r="H222">
        <v>3</v>
      </c>
      <c r="I222">
        <v>4</v>
      </c>
      <c r="J222">
        <v>5</v>
      </c>
      <c r="K222">
        <v>6</v>
      </c>
      <c r="L222">
        <v>7</v>
      </c>
      <c r="M222">
        <v>8</v>
      </c>
      <c r="N222">
        <v>9</v>
      </c>
      <c r="O222">
        <v>10</v>
      </c>
      <c r="P222">
        <v>11</v>
      </c>
      <c r="Q222">
        <v>12</v>
      </c>
      <c r="R222">
        <v>13</v>
      </c>
      <c r="S222">
        <v>14</v>
      </c>
      <c r="T222">
        <v>15</v>
      </c>
      <c r="U222">
        <v>16</v>
      </c>
      <c r="V222">
        <v>17</v>
      </c>
      <c r="W222">
        <v>18</v>
      </c>
      <c r="X222">
        <v>19</v>
      </c>
      <c r="Y222">
        <v>20</v>
      </c>
      <c r="Z222">
        <v>21</v>
      </c>
    </row>
    <row r="223" spans="4:26" ht="12.75">
      <c r="D223">
        <v>0</v>
      </c>
      <c r="E223" t="e">
        <f>#VALUE!</f>
        <v>#VALUE!</v>
      </c>
      <c r="F223" t="e">
        <f>#VALUE!</f>
        <v>#VALUE!</v>
      </c>
      <c r="G223" t="e">
        <f>#VALUE!</f>
        <v>#VALUE!</v>
      </c>
      <c r="H223" t="e">
        <f>#VALUE!</f>
        <v>#VALUE!</v>
      </c>
      <c r="I223" t="e">
        <f>#VALUE!</f>
        <v>#VALUE!</v>
      </c>
      <c r="J223" t="e">
        <f>#VALUE!</f>
        <v>#VALUE!</v>
      </c>
      <c r="K223" t="e">
        <f>#VALUE!</f>
        <v>#VALUE!</v>
      </c>
      <c r="L223" t="e">
        <f>#VALUE!</f>
        <v>#VALUE!</v>
      </c>
      <c r="M223">
        <v>0.5</v>
      </c>
      <c r="N223">
        <v>0.2</v>
      </c>
      <c r="O223">
        <v>0.1</v>
      </c>
      <c r="P223">
        <v>0.1</v>
      </c>
      <c r="Q223">
        <v>0.1</v>
      </c>
      <c r="R223">
        <v>0.1</v>
      </c>
      <c r="S223">
        <v>0.005</v>
      </c>
      <c r="T223">
        <v>0.005</v>
      </c>
      <c r="U223">
        <v>0.0025</v>
      </c>
      <c r="V223">
        <v>0.0025</v>
      </c>
      <c r="W223">
        <v>0.001</v>
      </c>
      <c r="X223">
        <v>0.001</v>
      </c>
      <c r="Y223">
        <v>0.001</v>
      </c>
      <c r="Z223">
        <v>0.001</v>
      </c>
    </row>
    <row r="224" spans="4:26" ht="12.75">
      <c r="D224">
        <v>1</v>
      </c>
      <c r="E224" t="e">
        <f>#VALUE!</f>
        <v>#VALUE!</v>
      </c>
      <c r="F224" t="e">
        <f>#VALUE!</f>
        <v>#VALUE!</v>
      </c>
      <c r="G224" t="e">
        <f>#VALUE!</f>
        <v>#VALUE!</v>
      </c>
      <c r="H224" t="e">
        <f>#VALUE!</f>
        <v>#VALUE!</v>
      </c>
      <c r="I224" t="e">
        <f>#VALUE!</f>
        <v>#VALUE!</v>
      </c>
      <c r="J224" t="e">
        <f>#VALUE!</f>
        <v>#VALUE!</v>
      </c>
      <c r="K224" t="e">
        <f>#VALUE!</f>
        <v>#VALUE!</v>
      </c>
      <c r="L224" t="e">
        <f>#VALUE!</f>
        <v>#VALUE!</v>
      </c>
      <c r="M224">
        <v>1.6</v>
      </c>
      <c r="N224">
        <v>0.6</v>
      </c>
      <c r="O224">
        <v>0.3</v>
      </c>
      <c r="P224">
        <v>0.3</v>
      </c>
      <c r="Q224">
        <v>0.2</v>
      </c>
      <c r="R224">
        <v>0.2</v>
      </c>
      <c r="S224">
        <v>0.1</v>
      </c>
      <c r="T224">
        <v>0.1</v>
      </c>
      <c r="U224">
        <v>0.05</v>
      </c>
      <c r="V224">
        <v>0.05</v>
      </c>
      <c r="W224">
        <v>0.025</v>
      </c>
      <c r="X224">
        <v>0.025</v>
      </c>
      <c r="Y224">
        <v>0.001</v>
      </c>
      <c r="Z224">
        <v>0.001</v>
      </c>
    </row>
    <row r="225" spans="4:26" ht="12.75">
      <c r="D225">
        <v>2</v>
      </c>
      <c r="E225" t="e">
        <f>#VALUE!</f>
        <v>#VALUE!</v>
      </c>
      <c r="F225" t="e">
        <f>#VALUE!</f>
        <v>#VALUE!</v>
      </c>
      <c r="G225" t="e">
        <f>#VALUE!</f>
        <v>#VALUE!</v>
      </c>
      <c r="H225" t="e">
        <f>#VALUE!</f>
        <v>#VALUE!</v>
      </c>
      <c r="I225" t="e">
        <f>#VALUE!</f>
        <v>#VALUE!</v>
      </c>
      <c r="J225" t="e">
        <f>#VALUE!</f>
        <v>#VALUE!</v>
      </c>
      <c r="K225" t="e">
        <f>#VALUE!</f>
        <v>#VALUE!</v>
      </c>
      <c r="L225" t="e">
        <f>#VALUE!</f>
        <v>#VALUE!</v>
      </c>
      <c r="M225">
        <v>5</v>
      </c>
      <c r="N225">
        <v>2</v>
      </c>
      <c r="O225">
        <v>1</v>
      </c>
      <c r="P225">
        <v>1</v>
      </c>
      <c r="Q225">
        <v>0.6</v>
      </c>
      <c r="R225">
        <v>0.6</v>
      </c>
      <c r="S225">
        <v>0.5</v>
      </c>
      <c r="T225">
        <v>0.5</v>
      </c>
      <c r="U225">
        <v>0.25</v>
      </c>
      <c r="V225">
        <v>0.25</v>
      </c>
      <c r="W225">
        <v>0.1</v>
      </c>
      <c r="X225">
        <v>0.1</v>
      </c>
      <c r="Y225">
        <v>0.05</v>
      </c>
      <c r="Z225">
        <v>0.05</v>
      </c>
    </row>
    <row r="226" spans="4:26" ht="12.75">
      <c r="D226">
        <v>3</v>
      </c>
      <c r="E226" t="e">
        <f>#VALUE!</f>
        <v>#VALUE!</v>
      </c>
      <c r="F226" t="e">
        <f>#VALUE!</f>
        <v>#VALUE!</v>
      </c>
      <c r="G226" t="e">
        <f>#VALUE!</f>
        <v>#VALUE!</v>
      </c>
      <c r="H226" t="e">
        <f>#VALUE!</f>
        <v>#VALUE!</v>
      </c>
      <c r="I226" t="e">
        <f>#VALUE!</f>
        <v>#VALUE!</v>
      </c>
      <c r="J226" t="e">
        <f>#VALUE!</f>
        <v>#VALUE!</v>
      </c>
      <c r="K226" t="e">
        <f>#VALUE!</f>
        <v>#VALUE!</v>
      </c>
      <c r="L226" t="e">
        <f>#VALUE!</f>
        <v>#VALUE!</v>
      </c>
      <c r="M226" t="e">
        <f>#VALUE!</f>
        <v>#VALUE!</v>
      </c>
      <c r="N226">
        <v>6.6</v>
      </c>
      <c r="O226">
        <v>3.3</v>
      </c>
      <c r="P226">
        <v>3.3</v>
      </c>
      <c r="Q226">
        <v>2</v>
      </c>
      <c r="R226">
        <v>2</v>
      </c>
      <c r="S226">
        <v>2.5</v>
      </c>
      <c r="T226">
        <v>2.5</v>
      </c>
      <c r="U226">
        <v>1</v>
      </c>
      <c r="V226">
        <v>1</v>
      </c>
      <c r="W226">
        <v>0.5</v>
      </c>
      <c r="X226">
        <v>0.5</v>
      </c>
      <c r="Y226">
        <v>0.2</v>
      </c>
      <c r="Z226">
        <v>0.2</v>
      </c>
    </row>
    <row r="227" spans="4:26" ht="12.75">
      <c r="D227">
        <v>4</v>
      </c>
      <c r="E227" t="e">
        <f>#VALUE!</f>
        <v>#VALUE!</v>
      </c>
      <c r="F227" t="e">
        <f>#VALUE!</f>
        <v>#VALUE!</v>
      </c>
      <c r="G227" t="e">
        <f>#VALUE!</f>
        <v>#VALUE!</v>
      </c>
      <c r="H227" t="e">
        <f>#VALUE!</f>
        <v>#VALUE!</v>
      </c>
      <c r="I227" t="e">
        <f>#VALUE!</f>
        <v>#VALUE!</v>
      </c>
      <c r="J227" t="e">
        <f>#VALUE!</f>
        <v>#VALUE!</v>
      </c>
      <c r="K227" t="e">
        <f>#VALUE!</f>
        <v>#VALUE!</v>
      </c>
      <c r="L227" t="e">
        <f>#VALUE!</f>
        <v>#VALUE!</v>
      </c>
      <c r="M227" t="e">
        <f>#VALUE!</f>
        <v>#VALUE!</v>
      </c>
      <c r="N227">
        <v>20</v>
      </c>
      <c r="O227">
        <v>10</v>
      </c>
      <c r="P227">
        <v>10</v>
      </c>
      <c r="Q227">
        <v>6</v>
      </c>
      <c r="R227">
        <v>6</v>
      </c>
      <c r="S227">
        <v>4</v>
      </c>
      <c r="T227">
        <v>4</v>
      </c>
      <c r="U227">
        <v>2</v>
      </c>
      <c r="V227">
        <v>2</v>
      </c>
      <c r="W227">
        <v>1</v>
      </c>
      <c r="X227">
        <v>1</v>
      </c>
      <c r="Y227">
        <v>0.5</v>
      </c>
      <c r="Z227">
        <v>0.5</v>
      </c>
    </row>
    <row r="229" spans="4:26" ht="12.75">
      <c r="D229" s="14" t="s">
        <v>1179</v>
      </c>
      <c r="E229">
        <v>0</v>
      </c>
      <c r="F229">
        <v>1</v>
      </c>
      <c r="G229">
        <v>2</v>
      </c>
      <c r="H229">
        <v>3</v>
      </c>
      <c r="I229">
        <v>4</v>
      </c>
      <c r="J229">
        <v>5</v>
      </c>
      <c r="K229">
        <v>6</v>
      </c>
      <c r="L229">
        <v>7</v>
      </c>
      <c r="M229">
        <v>8</v>
      </c>
      <c r="N229">
        <v>9</v>
      </c>
      <c r="O229">
        <v>10</v>
      </c>
      <c r="P229">
        <v>11</v>
      </c>
      <c r="Q229">
        <v>12</v>
      </c>
      <c r="R229">
        <v>13</v>
      </c>
      <c r="S229">
        <v>14</v>
      </c>
      <c r="T229">
        <v>15</v>
      </c>
      <c r="U229">
        <v>16</v>
      </c>
      <c r="V229">
        <v>17</v>
      </c>
      <c r="W229">
        <v>18</v>
      </c>
      <c r="X229">
        <v>19</v>
      </c>
      <c r="Y229">
        <v>20</v>
      </c>
      <c r="Z229">
        <v>21</v>
      </c>
    </row>
    <row r="230" spans="4:26" ht="12.75">
      <c r="D230">
        <v>0</v>
      </c>
      <c r="E230" t="e">
        <f>#VALUE!</f>
        <v>#VALUE!</v>
      </c>
      <c r="F230" t="e">
        <f>#VALUE!</f>
        <v>#VALUE!</v>
      </c>
      <c r="G230" t="e">
        <f>#VALUE!</f>
        <v>#VALUE!</v>
      </c>
      <c r="H230" t="e">
        <f>#VALUE!</f>
        <v>#VALUE!</v>
      </c>
      <c r="I230" t="e">
        <f>#VALUE!</f>
        <v>#VALUE!</v>
      </c>
      <c r="J230" t="e">
        <f>#VALUE!</f>
        <v>#VALUE!</v>
      </c>
      <c r="K230" t="e">
        <f>#VALUE!</f>
        <v>#VALUE!</v>
      </c>
      <c r="L230" t="e">
        <f>#VALUE!</f>
        <v>#VALUE!</v>
      </c>
      <c r="M230">
        <v>500</v>
      </c>
      <c r="N230">
        <v>100</v>
      </c>
      <c r="O230">
        <v>50</v>
      </c>
      <c r="P230">
        <v>50</v>
      </c>
      <c r="Q230">
        <v>25</v>
      </c>
      <c r="R230">
        <v>25</v>
      </c>
      <c r="S230">
        <v>10</v>
      </c>
      <c r="T230">
        <v>10</v>
      </c>
      <c r="U230">
        <v>10</v>
      </c>
      <c r="V230">
        <v>10</v>
      </c>
      <c r="W230">
        <v>10</v>
      </c>
      <c r="X230">
        <v>10</v>
      </c>
      <c r="Y230">
        <v>10</v>
      </c>
      <c r="Z230">
        <v>10</v>
      </c>
    </row>
    <row r="231" spans="4:26" ht="12.75">
      <c r="D231">
        <v>1</v>
      </c>
      <c r="E231" t="e">
        <f>#VALUE!</f>
        <v>#VALUE!</v>
      </c>
      <c r="F231" t="e">
        <f>#VALUE!</f>
        <v>#VALUE!</v>
      </c>
      <c r="G231" t="e">
        <f>#VALUE!</f>
        <v>#VALUE!</v>
      </c>
      <c r="H231" t="e">
        <f>#VALUE!</f>
        <v>#VALUE!</v>
      </c>
      <c r="I231" t="e">
        <f>#VALUE!</f>
        <v>#VALUE!</v>
      </c>
      <c r="J231" t="e">
        <f>#VALUE!</f>
        <v>#VALUE!</v>
      </c>
      <c r="K231" t="e">
        <f>#VALUE!</f>
        <v>#VALUE!</v>
      </c>
      <c r="L231" t="e">
        <f>#VALUE!</f>
        <v>#VALUE!</v>
      </c>
      <c r="M231">
        <v>5000</v>
      </c>
      <c r="N231">
        <v>1000</v>
      </c>
      <c r="O231">
        <v>500</v>
      </c>
      <c r="P231">
        <v>500</v>
      </c>
      <c r="Q231">
        <v>250</v>
      </c>
      <c r="R231">
        <v>250</v>
      </c>
      <c r="S231">
        <v>100</v>
      </c>
      <c r="T231">
        <v>100</v>
      </c>
      <c r="U231">
        <v>100</v>
      </c>
      <c r="V231">
        <v>100</v>
      </c>
      <c r="W231">
        <v>100</v>
      </c>
      <c r="X231">
        <v>100</v>
      </c>
      <c r="Y231">
        <v>100</v>
      </c>
      <c r="Z231">
        <v>100</v>
      </c>
    </row>
    <row r="232" spans="4:26" ht="12.75">
      <c r="D232">
        <v>2</v>
      </c>
      <c r="E232" t="e">
        <f>#VALUE!</f>
        <v>#VALUE!</v>
      </c>
      <c r="F232" t="e">
        <f>#VALUE!</f>
        <v>#VALUE!</v>
      </c>
      <c r="G232" t="e">
        <f>#VALUE!</f>
        <v>#VALUE!</v>
      </c>
      <c r="H232" t="e">
        <f>#VALUE!</f>
        <v>#VALUE!</v>
      </c>
      <c r="I232" t="e">
        <f>#VALUE!</f>
        <v>#VALUE!</v>
      </c>
      <c r="J232" t="e">
        <f>#VALUE!</f>
        <v>#VALUE!</v>
      </c>
      <c r="K232" t="e">
        <f>#VALUE!</f>
        <v>#VALUE!</v>
      </c>
      <c r="L232" t="e">
        <f>#VALUE!</f>
        <v>#VALUE!</v>
      </c>
      <c r="M232">
        <v>50000</v>
      </c>
      <c r="N232">
        <v>10000</v>
      </c>
      <c r="O232">
        <v>5000</v>
      </c>
      <c r="P232">
        <v>5000</v>
      </c>
      <c r="Q232">
        <v>2500</v>
      </c>
      <c r="R232">
        <v>2500</v>
      </c>
      <c r="S232">
        <v>1000</v>
      </c>
      <c r="T232">
        <v>1000</v>
      </c>
      <c r="U232">
        <v>1000</v>
      </c>
      <c r="V232">
        <v>1000</v>
      </c>
      <c r="W232">
        <v>1000</v>
      </c>
      <c r="X232">
        <v>1000</v>
      </c>
      <c r="Y232">
        <v>1000</v>
      </c>
      <c r="Z232">
        <v>1000</v>
      </c>
    </row>
    <row r="233" spans="4:26" ht="12.75">
      <c r="D233">
        <v>3</v>
      </c>
      <c r="E233" t="e">
        <f>#VALUE!</f>
        <v>#VALUE!</v>
      </c>
      <c r="F233" t="e">
        <f>#VALUE!</f>
        <v>#VALUE!</v>
      </c>
      <c r="G233" t="e">
        <f>#VALUE!</f>
        <v>#VALUE!</v>
      </c>
      <c r="H233" t="e">
        <f>#VALUE!</f>
        <v>#VALUE!</v>
      </c>
      <c r="I233" t="e">
        <f>#VALUE!</f>
        <v>#VALUE!</v>
      </c>
      <c r="J233" t="e">
        <f>#VALUE!</f>
        <v>#VALUE!</v>
      </c>
      <c r="K233" t="e">
        <f>#VALUE!</f>
        <v>#VALUE!</v>
      </c>
      <c r="L233" t="e">
        <f>#VALUE!</f>
        <v>#VALUE!</v>
      </c>
      <c r="M233" t="e">
        <f>#VALUE!</f>
        <v>#VALUE!</v>
      </c>
      <c r="N233">
        <v>100000</v>
      </c>
      <c r="O233">
        <v>50000</v>
      </c>
      <c r="P233">
        <v>50000</v>
      </c>
      <c r="Q233">
        <v>25000</v>
      </c>
      <c r="R233">
        <v>25000</v>
      </c>
      <c r="S233">
        <v>10000</v>
      </c>
      <c r="T233">
        <v>10000</v>
      </c>
      <c r="U233">
        <v>10000</v>
      </c>
      <c r="V233">
        <v>10000</v>
      </c>
      <c r="W233">
        <v>10000</v>
      </c>
      <c r="X233">
        <v>10000</v>
      </c>
      <c r="Y233">
        <v>10000</v>
      </c>
      <c r="Z233">
        <v>10000</v>
      </c>
    </row>
    <row r="234" spans="4:26" ht="12.75">
      <c r="D234">
        <v>4</v>
      </c>
      <c r="E234" t="e">
        <f>#VALUE!</f>
        <v>#VALUE!</v>
      </c>
      <c r="F234" t="e">
        <f>#VALUE!</f>
        <v>#VALUE!</v>
      </c>
      <c r="G234" t="e">
        <f>#VALUE!</f>
        <v>#VALUE!</v>
      </c>
      <c r="H234" t="e">
        <f>#VALUE!</f>
        <v>#VALUE!</v>
      </c>
      <c r="I234" t="e">
        <f>#VALUE!</f>
        <v>#VALUE!</v>
      </c>
      <c r="J234" t="e">
        <f>#VALUE!</f>
        <v>#VALUE!</v>
      </c>
      <c r="K234" t="e">
        <f>#VALUE!</f>
        <v>#VALUE!</v>
      </c>
      <c r="L234" t="e">
        <f>#VALUE!</f>
        <v>#VALUE!</v>
      </c>
      <c r="M234" t="e">
        <f>#VALUE!</f>
        <v>#VALUE!</v>
      </c>
      <c r="N234" t="e">
        <f>#VALUE!</f>
        <v>#VALUE!</v>
      </c>
      <c r="O234" t="e">
        <f>#VALUE!</f>
        <v>#VALUE!</v>
      </c>
      <c r="P234" t="e">
        <f>#VALUE!</f>
        <v>#VALUE!</v>
      </c>
      <c r="Q234" t="e">
        <f>#VALUE!</f>
        <v>#VALUE!</v>
      </c>
      <c r="R234" t="e">
        <f>#VALUE!</f>
        <v>#VALUE!</v>
      </c>
      <c r="S234">
        <v>100000</v>
      </c>
      <c r="T234">
        <v>100000</v>
      </c>
      <c r="U234">
        <v>100000</v>
      </c>
      <c r="V234">
        <v>100000</v>
      </c>
      <c r="W234">
        <v>100000</v>
      </c>
      <c r="X234">
        <v>100000</v>
      </c>
      <c r="Y234">
        <v>100000</v>
      </c>
      <c r="Z234">
        <v>100000</v>
      </c>
    </row>
    <row r="236" spans="4:26" ht="12.75">
      <c r="D236" s="14" t="s">
        <v>1006</v>
      </c>
      <c r="E236">
        <v>0</v>
      </c>
      <c r="F236">
        <v>1</v>
      </c>
      <c r="G236">
        <v>2</v>
      </c>
      <c r="H236">
        <v>3</v>
      </c>
      <c r="I236">
        <v>4</v>
      </c>
      <c r="J236">
        <v>5</v>
      </c>
      <c r="K236">
        <v>6</v>
      </c>
      <c r="L236">
        <v>7</v>
      </c>
      <c r="M236">
        <v>8</v>
      </c>
      <c r="N236">
        <v>9</v>
      </c>
      <c r="O236">
        <v>10</v>
      </c>
      <c r="P236">
        <v>11</v>
      </c>
      <c r="Q236">
        <v>12</v>
      </c>
      <c r="R236">
        <v>13</v>
      </c>
      <c r="S236">
        <v>14</v>
      </c>
      <c r="T236">
        <v>15</v>
      </c>
      <c r="U236">
        <v>16</v>
      </c>
      <c r="V236">
        <v>17</v>
      </c>
      <c r="W236">
        <v>18</v>
      </c>
      <c r="X236">
        <v>19</v>
      </c>
      <c r="Y236">
        <v>20</v>
      </c>
      <c r="Z236">
        <v>21</v>
      </c>
    </row>
    <row r="237" spans="4:26" ht="12.75">
      <c r="D237">
        <v>0</v>
      </c>
      <c r="E237" t="e">
        <f>#VALUE!</f>
        <v>#VALUE!</v>
      </c>
      <c r="F237" t="e">
        <f>#VALUE!</f>
        <v>#VALUE!</v>
      </c>
      <c r="G237" t="e">
        <f>#VALUE!</f>
        <v>#VALUE!</v>
      </c>
      <c r="H237" t="e">
        <f>#VALUE!</f>
        <v>#VALUE!</v>
      </c>
      <c r="I237" t="e">
        <f>#VALUE!</f>
        <v>#VALUE!</v>
      </c>
      <c r="J237" t="e">
        <f>#VALUE!</f>
        <v>#VALUE!</v>
      </c>
      <c r="K237" t="e">
        <f>#VALUE!</f>
        <v>#VALUE!</v>
      </c>
      <c r="L237" t="e">
        <f>#VALUE!</f>
        <v>#VALUE!</v>
      </c>
      <c r="M237">
        <v>1</v>
      </c>
      <c r="N237">
        <v>0.5</v>
      </c>
      <c r="O237">
        <v>0.2</v>
      </c>
      <c r="P237">
        <v>0.2</v>
      </c>
      <c r="Q237">
        <v>0.1</v>
      </c>
      <c r="R237">
        <v>0.1</v>
      </c>
      <c r="S237">
        <v>0.1</v>
      </c>
      <c r="T237">
        <v>0.1</v>
      </c>
      <c r="U237">
        <v>0.1</v>
      </c>
      <c r="V237">
        <v>0.1</v>
      </c>
      <c r="W237">
        <v>0.1</v>
      </c>
      <c r="X237">
        <v>0.1</v>
      </c>
      <c r="Y237">
        <v>0.1</v>
      </c>
      <c r="Z237">
        <v>0.1</v>
      </c>
    </row>
    <row r="238" spans="4:26" ht="12.75">
      <c r="D238">
        <v>1</v>
      </c>
      <c r="E238" t="e">
        <f>#VALUE!</f>
        <v>#VALUE!</v>
      </c>
      <c r="F238" t="e">
        <f>#VALUE!</f>
        <v>#VALUE!</v>
      </c>
      <c r="G238" t="e">
        <f>#VALUE!</f>
        <v>#VALUE!</v>
      </c>
      <c r="H238" t="e">
        <f>#VALUE!</f>
        <v>#VALUE!</v>
      </c>
      <c r="I238" t="e">
        <f>#VALUE!</f>
        <v>#VALUE!</v>
      </c>
      <c r="J238" t="e">
        <f>#VALUE!</f>
        <v>#VALUE!</v>
      </c>
      <c r="K238" t="e">
        <f>#VALUE!</f>
        <v>#VALUE!</v>
      </c>
      <c r="L238" t="e">
        <f>#VALUE!</f>
        <v>#VALUE!</v>
      </c>
      <c r="M238">
        <v>10</v>
      </c>
      <c r="N238">
        <v>5</v>
      </c>
      <c r="O238">
        <v>2</v>
      </c>
      <c r="P238">
        <v>2</v>
      </c>
      <c r="Q238">
        <v>1</v>
      </c>
      <c r="R238">
        <v>1</v>
      </c>
      <c r="S238">
        <v>0.5</v>
      </c>
      <c r="T238">
        <v>0.5</v>
      </c>
      <c r="U238">
        <v>0.5</v>
      </c>
      <c r="V238">
        <v>0.5</v>
      </c>
      <c r="W238">
        <v>0.5</v>
      </c>
      <c r="X238">
        <v>0.5</v>
      </c>
      <c r="Y238">
        <v>0.5</v>
      </c>
      <c r="Z238">
        <v>0.5</v>
      </c>
    </row>
    <row r="239" spans="4:26" ht="12.75">
      <c r="D239">
        <v>2</v>
      </c>
      <c r="E239" t="e">
        <f>#VALUE!</f>
        <v>#VALUE!</v>
      </c>
      <c r="F239" t="e">
        <f>#VALUE!</f>
        <v>#VALUE!</v>
      </c>
      <c r="G239" t="e">
        <f>#VALUE!</f>
        <v>#VALUE!</v>
      </c>
      <c r="H239" t="e">
        <f>#VALUE!</f>
        <v>#VALUE!</v>
      </c>
      <c r="I239" t="e">
        <f>#VALUE!</f>
        <v>#VALUE!</v>
      </c>
      <c r="J239" t="e">
        <f>#VALUE!</f>
        <v>#VALUE!</v>
      </c>
      <c r="K239" t="e">
        <f>#VALUE!</f>
        <v>#VALUE!</v>
      </c>
      <c r="L239" t="e">
        <f>#VALUE!</f>
        <v>#VALUE!</v>
      </c>
      <c r="M239">
        <v>100</v>
      </c>
      <c r="N239">
        <v>50</v>
      </c>
      <c r="O239">
        <v>20</v>
      </c>
      <c r="P239">
        <v>20</v>
      </c>
      <c r="Q239">
        <v>10</v>
      </c>
      <c r="R239">
        <v>10</v>
      </c>
      <c r="S239">
        <v>5</v>
      </c>
      <c r="T239">
        <v>5</v>
      </c>
      <c r="U239">
        <v>5</v>
      </c>
      <c r="V239">
        <v>5</v>
      </c>
      <c r="W239">
        <v>5</v>
      </c>
      <c r="X239">
        <v>5</v>
      </c>
      <c r="Y239">
        <v>5</v>
      </c>
      <c r="Z239">
        <v>5</v>
      </c>
    </row>
    <row r="240" spans="4:26" ht="12.75">
      <c r="D240">
        <v>3</v>
      </c>
      <c r="E240" t="e">
        <f>#VALUE!</f>
        <v>#VALUE!</v>
      </c>
      <c r="F240" t="e">
        <f>#VALUE!</f>
        <v>#VALUE!</v>
      </c>
      <c r="G240" t="e">
        <f>#VALUE!</f>
        <v>#VALUE!</v>
      </c>
      <c r="H240" t="e">
        <f>#VALUE!</f>
        <v>#VALUE!</v>
      </c>
      <c r="I240" t="e">
        <f>#VALUE!</f>
        <v>#VALUE!</v>
      </c>
      <c r="J240" t="e">
        <f>#VALUE!</f>
        <v>#VALUE!</v>
      </c>
      <c r="K240" t="e">
        <f>#VALUE!</f>
        <v>#VALUE!</v>
      </c>
      <c r="L240" t="e">
        <f>#VALUE!</f>
        <v>#VALUE!</v>
      </c>
      <c r="M240">
        <v>1000</v>
      </c>
      <c r="N240">
        <v>500</v>
      </c>
      <c r="O240">
        <v>200</v>
      </c>
      <c r="P240">
        <v>200</v>
      </c>
      <c r="Q240">
        <v>100</v>
      </c>
      <c r="R240">
        <v>100</v>
      </c>
      <c r="S240">
        <v>50</v>
      </c>
      <c r="T240">
        <v>50</v>
      </c>
      <c r="U240">
        <v>50</v>
      </c>
      <c r="V240">
        <v>50</v>
      </c>
      <c r="W240">
        <v>50</v>
      </c>
      <c r="X240">
        <v>50</v>
      </c>
      <c r="Y240">
        <v>50</v>
      </c>
      <c r="Z240">
        <v>50</v>
      </c>
    </row>
    <row r="242" ht="12.75">
      <c r="D242" s="14" t="s">
        <v>1370</v>
      </c>
    </row>
    <row r="243" spans="4:5" ht="12.75">
      <c r="D243" t="s">
        <v>1371</v>
      </c>
      <c r="E243">
        <f>Las1!D$12/CHOOSE((Las1!D$15+1),CHOOSE((Las1!D$7+1),0,0,0,0,0,0,0,0.2,0.25,0.3,0.35,0.45,0.55,0.65,0.75,0.85,0.95,0.95,0.95,0.95,0.95,0.95),0.2)</f>
        <v>350</v>
      </c>
    </row>
    <row r="244" spans="4:5" ht="12.75">
      <c r="D244" t="s">
        <v>1372</v>
      </c>
      <c r="E244">
        <f>CHOOSE((Las1!D$15+1),Las1!D$9,(Las1!D$9^2)*CHOOSE((Las1!D$11+1),CHOOSE((Las1!D$7+1),0,0,0,0,0,0,0,0,0,10,90,160,250,360,360,360,360,360,360,360,360),CHOOSE((Las1!D$7+1),0,0,0,0,0,0,0,0,0,0,0,0,0,160,250,360,360,360,360,360,360,360,360,360,360)))</f>
        <v>1562.5</v>
      </c>
    </row>
    <row r="245" spans="4:5" ht="12.75">
      <c r="D245" t="s">
        <v>1123</v>
      </c>
      <c r="E245">
        <f>E244*CHOOSE((Las1!D$11+1),CHOOSE((Las1!D$7+1),0,0,0,0,0,0,0,3,20,33,50,100,100,100,100,1000,2000,5000,10000,50000,100000,200000),100000)</f>
        <v>156250</v>
      </c>
    </row>
    <row r="246" spans="4:5" ht="12.75">
      <c r="D246" t="s">
        <v>1373</v>
      </c>
      <c r="E246">
        <f>MAX(IF(Las1!D$19/30&gt;=24,8,IF(Las1!D$19/30&gt;=12,4,IF(Las1!D$19/30&gt;6,2,1))),IF(Las1!D$20/30&gt;=24,8,IF(Las1!D$20/30&gt;=12,4,IF(Las1!D$20/30&gt;6,2,1))))</f>
        <v>1</v>
      </c>
    </row>
    <row r="247" spans="4:5" ht="12.75">
      <c r="D247" s="473" t="s">
        <v>1374</v>
      </c>
      <c r="E247" s="473">
        <f>ROUND(((E243*Las1!$D$20)/1800*Las1!$D$18)/30,3)</f>
        <v>0</v>
      </c>
    </row>
    <row r="248" spans="4:5" ht="12.75">
      <c r="D248" t="s">
        <v>1375</v>
      </c>
      <c r="E248">
        <f>SUM(Las1!D$33:D$38)</f>
        <v>41.513611696486386</v>
      </c>
    </row>
    <row r="249" spans="4:6" ht="12.75">
      <c r="D249" t="s">
        <v>1376</v>
      </c>
      <c r="E249">
        <f>ROUND((6*E248/PI())^(1/3)*PI(),2)</f>
        <v>13.5</v>
      </c>
      <c r="F249">
        <f>(Las1!D$21/$F$9)/100</f>
        <v>0</v>
      </c>
    </row>
    <row r="250" spans="4:7" ht="12.75">
      <c r="D250" t="s">
        <v>1377</v>
      </c>
      <c r="E250">
        <f>ROUND(2.5*SQRT(Las1!D$26),0)</f>
        <v>11</v>
      </c>
      <c r="F250">
        <f>MAX(0,VLOOKUP($E250*Las1!$D$18,$A$2:$B$61,2)+MIN(VLOOKUP($E250*Las1!$D$18,$A$2:$B$61,2),IF(Las1!$D$19&gt;=800,4,IF(Las1!$D$19&gt;=400,3,IF(Las1!$D$19&gt;=200,2,IF(Las1!$D$19&gt;=100,1,IF(Las1!$D$19&lt;50,-1,0)))))))</f>
        <v>0</v>
      </c>
      <c r="G250">
        <f>MAX(0,VLOOKUP($E250*Las1!$D$18*Las1!$D$44,$A$2:$B$61,2)+MIN(VLOOKUP($E250*Las1!$D$18*Las1!$D$44,$A$2:$B$61,2),IF(Las1!$D$19&gt;=800,4,IF(Las1!$D$19&gt;=400,3,IF(Las1!$D$19&gt;=200,2,IF(Las1!$D$19&gt;=100,1,IF(Las1!$D$19&lt;50,-1,0)))))))</f>
        <v>0</v>
      </c>
    </row>
    <row r="251" spans="4:7" ht="12.75">
      <c r="D251" t="s">
        <v>1378</v>
      </c>
      <c r="E251">
        <f>ROUND(2.5*SQRT(Las1!D$27),0)</f>
        <v>5</v>
      </c>
      <c r="F251">
        <f>MAX(0,VLOOKUP($E251*Las1!$D$18,$A$2:$B$61,2)+MIN(VLOOKUP($E251*Las1!$D$18,$A$2:$B$61,2),IF(Las1!$D$19&gt;=800,4,IF(Las1!$D$19&gt;=400,3,IF(Las1!$D$19&gt;=200,2,IF(Las1!$D$19&gt;=100,1,IF(Las1!$D$19&lt;50,-1,0)))))))</f>
        <v>0</v>
      </c>
      <c r="G251">
        <f>MAX(0,VLOOKUP($E251*Las1!$D$18,$A$2:$B$61,2)+MIN(VLOOKUP($E251*Las1!$D$18,$A$2:$B$61,2),IF(Las1!$D$19&gt;=800,4,IF(Las1!$D$19&gt;=400,3,IF(Las1!$D$19&gt;=200,2,IF(Las1!$D$19&gt;=100,1,IF(Las1!$D$19&lt;50,-1,0)))))))</f>
        <v>0</v>
      </c>
    </row>
    <row r="252" spans="4:7" ht="12.75">
      <c r="D252" t="s">
        <v>1379</v>
      </c>
      <c r="E252">
        <f>ROUND(2.5*SQRT(Las1!D$28),0)</f>
        <v>3</v>
      </c>
      <c r="F252">
        <f>MAX(0,VLOOKUP($E252*Las1!$D$18,$A$2:$B$61,2)+MIN(VLOOKUP($E252*Las1!$D$18,$A$2:$B$61,2),IF(Las1!$D$19&gt;=800,4,IF(Las1!$D$19&gt;=400,3,IF(Las1!$D$19&gt;=200,2,IF(Las1!$D$19&gt;=100,1,IF(Las1!$D$19&lt;50,-1,0)))))))</f>
        <v>0</v>
      </c>
      <c r="G252">
        <f>MAX(0,VLOOKUP($E252*Las1!$D$18,$A$2:$B$61,2)+MIN(VLOOKUP($E252*Las1!$D$18,$A$2:$B$61,2),IF(Las1!$D$19&gt;=800,4,IF(Las1!$D$19&gt;=400,3,IF(Las1!$D$19&gt;=200,2,IF(Las1!$D$19&gt;=100,1,IF(Las1!$D$19&lt;50,-1,0)))))))</f>
        <v>0</v>
      </c>
    </row>
    <row r="253" spans="4:7" ht="12.75">
      <c r="D253" t="s">
        <v>1380</v>
      </c>
      <c r="E253">
        <f>ROUND(2.5*SQRT(Las1!D$29),0)</f>
        <v>1</v>
      </c>
      <c r="F253">
        <f>MAX(0,VLOOKUP($E253*Las1!$D$18,$A$2:$B$61,2)+MIN(VLOOKUP($E253*Las1!$D$18,$A$2:$B$61,2),IF(Las1!$D$19&gt;=800,4,IF(Las1!$D$19&gt;=400,3,IF(Las1!$D$19&gt;=200,2,IF(Las1!$D$19&gt;=100,1,IF(Las1!$D$19&lt;50,-1,0)))))))</f>
        <v>0</v>
      </c>
      <c r="G253">
        <f>MAX(0,VLOOKUP($E253*Las1!$D$18,$A$2:$B$61,2)+MIN(VLOOKUP($E253*Las1!$D$18,$A$2:$B$61,2),IF(Las1!$D$19&gt;=800,4,IF(Las1!$D$19&gt;=400,3,IF(Las1!$D$19&gt;=200,2,IF(Las1!$D$19&gt;=100,1,IF(Las1!$D$19&lt;50,-1,0)))))))</f>
        <v>0</v>
      </c>
    </row>
    <row r="254" spans="4:8" ht="12.75">
      <c r="D254" t="s">
        <v>1381</v>
      </c>
      <c r="E254" s="473">
        <f>ROUND(2.5*SQRT(Las1!$E$25),0)</f>
        <v>21</v>
      </c>
      <c r="F254" s="473">
        <f>VLOOKUP($E254*Las1!$D$18,$A$112:$B$137,2)+MIN($E259,0)</f>
        <v>7</v>
      </c>
      <c r="G254" s="473">
        <f>VLOOKUP($E254*Las1!$D$18*Las1!$D$44,$A$112:$B$137,2)+MIN($E259,0)</f>
        <v>7</v>
      </c>
      <c r="H254" s="473">
        <f>IF(F254=0,0,VLOOKUP(E254*10,$A$112:$B$137,2))</f>
        <v>13</v>
      </c>
    </row>
    <row r="255" spans="4:8" ht="12.75">
      <c r="D255" t="s">
        <v>1382</v>
      </c>
      <c r="E255" s="473">
        <f>ROUND(2.5*SQRT(Las1!$E$26),0)</f>
        <v>11</v>
      </c>
      <c r="F255" s="473">
        <f>VLOOKUP($E255*Las1!$D$18,$A$112:$B$137,2)+MIN($E259,0)</f>
        <v>5</v>
      </c>
      <c r="G255" s="473">
        <f>VLOOKUP($E255*Las1!$D$18*Las1!$D$44,$A$112:$B$137,2)+MIN($E259,0)</f>
        <v>5</v>
      </c>
      <c r="H255" s="473">
        <f>IF(F255=0,0,VLOOKUP(E255*10,$A$112:$B$137,2))</f>
        <v>11</v>
      </c>
    </row>
    <row r="256" spans="4:8" ht="12.75">
      <c r="D256" t="s">
        <v>1383</v>
      </c>
      <c r="E256" s="473">
        <f>ROUND(2.5*SQRT(Las1!$E$27),0)</f>
        <v>5</v>
      </c>
      <c r="F256" s="473">
        <f>VLOOKUP($E256*Las1!$D$18,$A$112:$B$137,2)+MIN($E259,0)</f>
        <v>3</v>
      </c>
      <c r="G256" s="473">
        <f>VLOOKUP($E256*Las1!$D$18*Las1!$D$44,$A$112:$B$137,2)+MIN($E259,0)</f>
        <v>3</v>
      </c>
      <c r="H256" s="473">
        <f>IF(F256=0,0,VLOOKUP(E256*10,$A$112:$B$137,2))</f>
        <v>9</v>
      </c>
    </row>
    <row r="257" spans="4:8" ht="12.75">
      <c r="D257" t="s">
        <v>1384</v>
      </c>
      <c r="E257" s="473">
        <f>ROUND(2.5*SQRT(Las1!$E$28),0)</f>
        <v>3</v>
      </c>
      <c r="F257" s="473">
        <f>VLOOKUP($E257*Las1!$D$18,$A$112:$B$137,2)+MIN($E259,0)</f>
        <v>2</v>
      </c>
      <c r="G257" s="473">
        <f>VLOOKUP($E257*Las1!$D$18*Las1!$D$44,$A$112:$B$137,2)+MIN($E259,0)</f>
        <v>2</v>
      </c>
      <c r="H257" s="473">
        <f>IF(F257=0,0,VLOOKUP(E257*10,$A$112:$B$137,2))</f>
        <v>7</v>
      </c>
    </row>
    <row r="258" spans="4:8" ht="12.75">
      <c r="D258" t="s">
        <v>1385</v>
      </c>
      <c r="E258" s="473">
        <f>ROUND(2.5*SQRT(Las1!$E$29),0)</f>
        <v>0</v>
      </c>
      <c r="F258" s="473">
        <f>VLOOKUP($E258*Las1!$D$18,$A$112:$B$137,2)+MIN($E259,0)</f>
        <v>0</v>
      </c>
      <c r="G258" s="473">
        <f>VLOOKUP($E258*Las1!$D$18*Las1!$D$44,$A$112:$B$137,2)+MIN($E259,0)</f>
        <v>0</v>
      </c>
      <c r="H258" s="473">
        <f>IF(F258=0,0,VLOOKUP(E258*10,$A$112:$B$137,2))</f>
        <v>0</v>
      </c>
    </row>
    <row r="259" spans="4:11" ht="12.75">
      <c r="D259" s="473" t="s">
        <v>1386</v>
      </c>
      <c r="E259" s="473">
        <f>VLOOKUP(Las1!$D$19,$A$151:$B$161,2)</f>
        <v>0</v>
      </c>
      <c r="F259" s="473"/>
      <c r="G259" s="473"/>
      <c r="K259" s="473"/>
    </row>
    <row r="260" spans="4:11" ht="12.75">
      <c r="D260" s="473" t="s">
        <v>1387</v>
      </c>
      <c r="E260" s="473">
        <f>VLOOKUP(Las1!$D$18,$A$140:$B$148,2)+VLOOKUP(MAX(Las1!$D$19,Las1!$D$20),$A$151:$B$161,2)+MIN(F254-4,0)</f>
        <v>0</v>
      </c>
      <c r="F260" s="473"/>
      <c r="G260" s="473"/>
      <c r="K260" s="473"/>
    </row>
    <row r="261" spans="4:11" ht="12.75">
      <c r="D261" s="551" t="s">
        <v>1388</v>
      </c>
      <c r="E261" s="551">
        <f>VLOOKUP(Las1!$D$18*Las1!$D$44,$A$140:$B$148,2)+VLOOKUP(MAX(Las1!$D$19,Las1!$D$20),$A$151:$B$161,2)+MIN(F254-4,0)</f>
        <v>0</v>
      </c>
      <c r="F261" s="473"/>
      <c r="G261" s="473"/>
      <c r="K261" s="473"/>
    </row>
    <row r="263" ht="12.75">
      <c r="D263" s="14" t="s">
        <v>1389</v>
      </c>
    </row>
    <row r="264" spans="4:5" ht="12.75">
      <c r="D264" t="s">
        <v>1371</v>
      </c>
      <c r="E264">
        <f>Las2!D$12/CHOOSE((Las2!D$15+1),CHOOSE((Las2!D$7+1),0,0,0,0,0,0,0,0.2,0.25,0.3,0.35,0.45,0.55,0.65,0.75,0.85,0.95,0.95,0.95,0.95,0.95,0.95),0.2)</f>
        <v>1000</v>
      </c>
    </row>
    <row r="265" spans="4:5" ht="12.75">
      <c r="D265" t="s">
        <v>1372</v>
      </c>
      <c r="E265">
        <f>CHOOSE((Las2!D$15+1),Las2!D$9,(Las2!D$9^2)*CHOOSE((Las2!D$11+1),CHOOSE((Las2!D$7+1),0,0,0,0,0,0,0,0,0,10,90,160,250,360,360,360,360,360,360,360,360),CHOOSE((Las2!D$7+1),0,0,0,0,0,0,0,0,0,0,0,0,0,160,250,360,360,360,360,360,360,360,360,360,360)))</f>
        <v>1690.0000000000002</v>
      </c>
    </row>
    <row r="266" spans="4:5" ht="12.75">
      <c r="D266" t="s">
        <v>1123</v>
      </c>
      <c r="E266">
        <f>E265*CHOOSE((Las2!D$11+1),CHOOSE((Las2!D$7+1),0,0,0,0,0,0,0,3,20,33,50,100,100,100,100,1000,2000,5000,10000,50000,100000,200000),100000)</f>
        <v>169000.00000000003</v>
      </c>
    </row>
    <row r="267" spans="4:5" ht="12.75">
      <c r="D267" t="s">
        <v>1373</v>
      </c>
      <c r="E267">
        <f>MAX(IF(Las2!D$19/30&gt;=24,8,IF(Las2!D$19/30&gt;=12,4,IF(Las2!D$19/30&gt;6,2,1))),IF(Las2!D$20/30&gt;=24,8,IF(Las2!D$20/30&gt;=12,4,IF(Las2!D$20/30&gt;6,2,1))))</f>
        <v>1</v>
      </c>
    </row>
    <row r="268" spans="4:5" ht="12.75">
      <c r="D268" s="473" t="s">
        <v>1374</v>
      </c>
      <c r="E268" s="473">
        <f>ROUND(((E264*Las2!$D$20)/1800*Las2!$D$18)/30,3)</f>
        <v>0</v>
      </c>
    </row>
    <row r="269" spans="4:5" ht="12.75">
      <c r="D269" t="s">
        <v>1375</v>
      </c>
      <c r="E269">
        <f>SUM(Las2!D$33:D$38)</f>
        <v>108.06185831691336</v>
      </c>
    </row>
    <row r="270" spans="4:6" ht="12.75">
      <c r="D270" t="s">
        <v>1376</v>
      </c>
      <c r="E270">
        <f>ROUND((6*E269/PI())^(1/3)*PI(),2)</f>
        <v>18.57</v>
      </c>
      <c r="F270">
        <f>(Las2!D$21/$F$9)/100</f>
        <v>0</v>
      </c>
    </row>
    <row r="271" spans="4:7" ht="12.75">
      <c r="D271" t="s">
        <v>1377</v>
      </c>
      <c r="E271">
        <f>ROUND(2.5*SQRT(Las2!D$26),0)</f>
        <v>20</v>
      </c>
      <c r="F271">
        <f>MAX(0,VLOOKUP($E271*Las2!$D$18,$A$2:$B$61,2)+MIN(VLOOKUP($E271*Las2!$D$18,$A$2:$B$61,2),IF(Las2!$D$19&gt;=800,4,IF(Las2!$D$19&gt;=400,3,IF(Las2!$D$19&gt;=200,2,IF(Las2!$D$19&gt;=100,1,IF(Las2!$D$19&lt;50,-1,0)))))))</f>
        <v>2</v>
      </c>
      <c r="G271">
        <f>MAX(0,VLOOKUP($E271*Las2!$D$18*Las2!$D$44,$A$2:$B$61,2)+MIN(VLOOKUP($E271*Las2!$D$18*Las2!$D$44,$A$2:$B$61,2),IF(Las2!$D$19&gt;=800,4,IF(Las2!$D$19&gt;=400,3,IF(Las2!$D$19&gt;=200,2,IF(Las2!$D$19&gt;=100,1,IF(Las2!$D$19&lt;50,-1,0)))))))</f>
        <v>2</v>
      </c>
    </row>
    <row r="272" spans="4:7" ht="12.75">
      <c r="D272" t="s">
        <v>1378</v>
      </c>
      <c r="E272">
        <f>ROUND(2.5*SQRT(Las2!D$27),0)</f>
        <v>10</v>
      </c>
      <c r="F272">
        <f>MAX(0,VLOOKUP($E272*Las2!$D$18,$A$2:$B$61,2)+MIN(VLOOKUP($E272*Las2!$D$18,$A$2:$B$61,2),IF(Las2!$D$19&gt;=800,4,IF(Las2!$D$19&gt;=400,3,IF(Las2!$D$19&gt;=200,2,IF(Las2!$D$19&gt;=100,1,IF(Las2!$D$19&lt;50,-1,0)))))))</f>
        <v>0</v>
      </c>
      <c r="G272">
        <f>MAX(0,VLOOKUP($E272*Las2!$D$18*Las2!$D$44,$A$2:$B$61,2)+MIN(VLOOKUP($E272*Las2!$D$18*Las2!$D$44,$A$2:$B$61,2),IF(Las2!$D$19&gt;=800,4,IF(Las2!$D$19&gt;=400,3,IF(Las2!$D$19&gt;=200,2,IF(Las2!$D$19&gt;=100,1,IF(Las2!$D$19&lt;50,-1,0)))))))</f>
        <v>0</v>
      </c>
    </row>
    <row r="273" spans="4:7" ht="12.75">
      <c r="D273" t="s">
        <v>1379</v>
      </c>
      <c r="E273">
        <f>ROUND(2.5*SQRT(Las2!D$28),0)</f>
        <v>5</v>
      </c>
      <c r="F273">
        <f>MAX(0,VLOOKUP($E273*Las2!$D$18,$A$2:$B$61,2)+MIN(VLOOKUP($E273*Las2!$D$18,$A$2:$B$61,2),IF(Las2!$D$19&gt;=800,4,IF(Las2!$D$19&gt;=400,3,IF(Las2!$D$19&gt;=200,2,IF(Las2!$D$19&gt;=100,1,IF(Las2!$D$19&lt;50,-1,0)))))))</f>
        <v>0</v>
      </c>
      <c r="G273">
        <f>MAX(0,VLOOKUP($E273*Las2!$D$18*Las2!$D$44,$A$2:$B$61,2)+MIN(VLOOKUP($E273*Las2!$D$18*Las2!$D$44,$A$2:$B$61,2),IF(Las2!$D$19&gt;=800,4,IF(Las2!$D$19&gt;=400,3,IF(Las2!$D$19&gt;=200,2,IF(Las2!$D$19&gt;=100,1,IF(Las2!$D$19&lt;50,-1,0)))))))</f>
        <v>0</v>
      </c>
    </row>
    <row r="274" spans="4:7" ht="12.75">
      <c r="D274" t="s">
        <v>1380</v>
      </c>
      <c r="E274">
        <f>ROUND(2.5*SQRT(Las2!D$29),0)</f>
        <v>2</v>
      </c>
      <c r="F274">
        <f>MAX(0,VLOOKUP($E274*Las2!$D$18,$A$2:$B$61,2)+MIN(VLOOKUP($E274*Las2!$D$18,$A$2:$B$61,2),IF(Las2!$D$19&gt;=800,4,IF(Las2!$D$19&gt;=400,3,IF(Las2!$D$19&gt;=200,2,IF(Las2!$D$19&gt;=100,1,IF(Las2!$D$19&lt;50,-1,0)))))))</f>
        <v>0</v>
      </c>
      <c r="G274">
        <f>MAX(0,VLOOKUP($E274*Las2!$D$18*Las2!$D$44,$A$2:$B$61,2)+MIN(VLOOKUP($E274*Las2!$D$18*Las2!$D$44,$A$2:$B$61,2),IF(Las2!$D$19&gt;=800,4,IF(Las2!$D$19&gt;=400,3,IF(Las2!$D$19&gt;=200,2,IF(Las2!$D$19&gt;=100,1,IF(Las2!$D$19&lt;50,-1,0)))))))</f>
        <v>0</v>
      </c>
    </row>
    <row r="275" spans="4:8" ht="12.75">
      <c r="D275" t="s">
        <v>1381</v>
      </c>
      <c r="E275" s="473">
        <f>ROUND(2.5*SQRT(Las2!$E$25),0)</f>
        <v>35</v>
      </c>
      <c r="F275" s="473">
        <f>VLOOKUP($E275*Las2!$D$18,$A$112:$B$137,2)+MIN($E280,0)</f>
        <v>8</v>
      </c>
      <c r="G275" s="473">
        <f>VLOOKUP($E275*Las2!$D$18*Las2!$D$44,$A$112:$B$137,2)+MIN($E280,0)</f>
        <v>8</v>
      </c>
      <c r="H275" s="473">
        <f>IF(F275=0,0,VLOOKUP(E275*10,$A$112:$B$137,2))</f>
        <v>14</v>
      </c>
    </row>
    <row r="276" spans="4:8" ht="12.75">
      <c r="D276" t="s">
        <v>1382</v>
      </c>
      <c r="E276" s="473">
        <f>ROUND(2.5*SQRT(Las2!$E$26),0)</f>
        <v>20</v>
      </c>
      <c r="F276" s="473">
        <f>VLOOKUP($E276*Las2!$D$18,$A$112:$B$137,2)+MIN($E280,0)</f>
        <v>6</v>
      </c>
      <c r="G276" s="473">
        <f>VLOOKUP($E276*Las2!$D$18*Las2!$D$44,$A$112:$B$137,2)+MIN($E280,0)</f>
        <v>6</v>
      </c>
      <c r="H276" s="473">
        <f>IF(F276=0,0,VLOOKUP(E276*10,$A$112:$B$137,2))</f>
        <v>12</v>
      </c>
    </row>
    <row r="277" spans="4:8" ht="12.75">
      <c r="D277" t="s">
        <v>1383</v>
      </c>
      <c r="E277" s="473">
        <f>ROUND(2.5*SQRT(Las2!$E$27),0)</f>
        <v>10</v>
      </c>
      <c r="F277" s="473">
        <f>VLOOKUP($E277*Las2!$D$18,$A$112:$B$137,2)+MIN($E280,0)</f>
        <v>5</v>
      </c>
      <c r="G277" s="473">
        <f>VLOOKUP($E277*Las2!$D$18*Las2!$D$44,$A$112:$B$137,2)+MIN($E280,0)</f>
        <v>5</v>
      </c>
      <c r="H277" s="473">
        <f>IF(F277=0,0,VLOOKUP(E277*10,$A$112:$B$137,2))</f>
        <v>11</v>
      </c>
    </row>
    <row r="278" spans="4:8" ht="12.75">
      <c r="D278" t="s">
        <v>1384</v>
      </c>
      <c r="E278" s="473">
        <f>ROUND(2.5*SQRT(Las2!$E$28),0)</f>
        <v>5</v>
      </c>
      <c r="F278" s="473">
        <f>VLOOKUP($E278*Las2!$D$18,$A$112:$B$137,2)+MIN($E280,0)</f>
        <v>3</v>
      </c>
      <c r="G278" s="473">
        <f>VLOOKUP($E278*Las2!$D$18*Las2!$D$44,$A$112:$B$137,2)+MIN($E280,0)</f>
        <v>3</v>
      </c>
      <c r="H278" s="473">
        <f>IF(F278=0,0,VLOOKUP(E278*10,$A$112:$B$137,2))</f>
        <v>9</v>
      </c>
    </row>
    <row r="279" spans="4:8" ht="12.75">
      <c r="D279" t="s">
        <v>1385</v>
      </c>
      <c r="E279" s="473">
        <f>ROUND(2.5*SQRT(Las3!$E$29),0)</f>
        <v>0</v>
      </c>
      <c r="F279" s="473">
        <f>VLOOKUP($E279*Las2!$D$18,$A$112:$B$137,2)+MIN($E280,0)</f>
        <v>0</v>
      </c>
      <c r="G279" s="473">
        <f>VLOOKUP($E279*Las2!$D$18*Las2!$D$44,$A$112:$B$137,2)+MIN($E280,0)</f>
        <v>0</v>
      </c>
      <c r="H279" s="473">
        <f>IF(F279=0,0,VLOOKUP(E279*10,$A$112:$B$137,2))</f>
        <v>0</v>
      </c>
    </row>
    <row r="280" spans="4:7" ht="12.75">
      <c r="D280" s="473" t="s">
        <v>1386</v>
      </c>
      <c r="E280" s="473">
        <f>VLOOKUP(Las2!$D$19,$A$151:$B$161,2)</f>
        <v>1</v>
      </c>
      <c r="F280" s="473"/>
      <c r="G280" s="473"/>
    </row>
    <row r="281" spans="4:7" ht="12.75">
      <c r="D281" s="473" t="s">
        <v>1387</v>
      </c>
      <c r="E281" s="473">
        <f>VLOOKUP(Las2!$D$18,$A$140:$B$148,2)+VLOOKUP(MAX(Las2!$D$19,Las2!$D$20),$A$151:$B$161,2)+MIN(F275-4,0)</f>
        <v>1</v>
      </c>
      <c r="F281" s="473"/>
      <c r="G281" s="473"/>
    </row>
    <row r="282" spans="4:7" ht="12.75">
      <c r="D282" s="551" t="s">
        <v>1388</v>
      </c>
      <c r="E282" s="551">
        <f>VLOOKUP(Las2!$D$18*Las2!$D$44,$A$140:$B$148,2)+VLOOKUP(MAX(Las2!$D$19,Las2!$D$20),$A$151:$B$161,2)+MIN(F275-4,0)</f>
        <v>1</v>
      </c>
      <c r="F282" s="473"/>
      <c r="G282" s="473"/>
    </row>
    <row r="284" ht="12.75">
      <c r="D284" s="14" t="s">
        <v>1390</v>
      </c>
    </row>
    <row r="285" spans="4:5" ht="12.75">
      <c r="D285" t="s">
        <v>1371</v>
      </c>
      <c r="E285">
        <f>Las3!D$12/CHOOSE((Las3!D$15+1),CHOOSE((Las3!D$7+1),0,0,0,0,0,0,0,0.2,0.25,0.3,0.35,0.45,0.55,0.65,0.75,0.85,0.95,0.95,0.95,0.95,0.95,0.95),0.2)</f>
        <v>1250</v>
      </c>
    </row>
    <row r="286" spans="4:5" ht="12.75">
      <c r="D286" t="s">
        <v>1372</v>
      </c>
      <c r="E286">
        <f>CHOOSE((Las3!D$15+1),Las3!D$9,(Las3!D$9^2)*CHOOSE((Las3!D$11+1),CHOOSE((Las3!D$7+1),0,0,0,0,0,0,0,0,0,10,90,160,250,360,360,360,360,360,360,360,360),CHOOSE((Las3!D$7+1),0,0,0,0,0,0,0,0,0,0,0,0,0,160,250,360,360,360,360,360,360,360,360,360,360)))</f>
        <v>1690.0000000000002</v>
      </c>
    </row>
    <row r="287" spans="4:5" ht="12.75">
      <c r="D287" t="s">
        <v>1123</v>
      </c>
      <c r="E287">
        <f>E286*CHOOSE((Las3!D$11+1),CHOOSE((Las3!D$7+1),0,0,0,0,0,0,0,3,20,33,50,100,100,100,100,1000,2000,5000,10000,50000,100000,200000),100000)</f>
        <v>169000.00000000003</v>
      </c>
    </row>
    <row r="288" spans="4:5" ht="12.75">
      <c r="D288" t="s">
        <v>1373</v>
      </c>
      <c r="E288">
        <f>IF(Las3!D$19/30&gt;=24,8,IF(Las3!D$19/30&gt;=12,4,IF(Las3!D$19/30&gt;6,2,1)))</f>
        <v>1</v>
      </c>
    </row>
    <row r="289" spans="4:5" ht="12.75">
      <c r="D289" s="473" t="s">
        <v>1374</v>
      </c>
      <c r="E289" s="473">
        <f>ROUND(((E285*Las3!$D$20)/1800*Las3!$D$18)/30,3)</f>
        <v>0</v>
      </c>
    </row>
    <row r="290" spans="4:5" ht="12.75">
      <c r="D290" t="s">
        <v>1375</v>
      </c>
      <c r="E290">
        <f>SUM(Las3!D$33:D$38)</f>
        <v>120.8273228961417</v>
      </c>
    </row>
    <row r="291" spans="4:6" ht="12.75">
      <c r="D291" t="s">
        <v>1376</v>
      </c>
      <c r="E291">
        <f>ROUND((6*E290/PI())^(1/3)*PI(),2)</f>
        <v>19.27</v>
      </c>
      <c r="F291">
        <f>(Las3!D$21/$F$9)/100</f>
        <v>0</v>
      </c>
    </row>
    <row r="292" spans="4:7" ht="12.75">
      <c r="D292" t="s">
        <v>1377</v>
      </c>
      <c r="E292">
        <f>ROUND(2.5*SQRT(Las3!D$26),0)</f>
        <v>22</v>
      </c>
      <c r="F292">
        <f>MAX(0,VLOOKUP($E292*Las3!$D$18,$A$2:$B$61,2)+MIN(VLOOKUP($E292*Las3!$D$18,$A$2:$B$61,2),IF(Las3!$D$19&gt;=800,4,IF(Las3!$D$19&gt;=400,3,IF(Las3!$D$19&gt;=200,2,IF(Las3!$D$19&gt;=100,1,IF(Las3!$D$19&lt;50,-1,0)))))))</f>
        <v>2</v>
      </c>
      <c r="G292">
        <f>MAX(0,VLOOKUP($E292*Las3!$D$18*Las3!$D$44,$A$2:$B$61,2)+MIN(VLOOKUP($E292*Las3!$D$18*Las3!$D$44,$A$2:$B$61,2),IF(Las3!$D$19&gt;=800,4,IF(Las3!$D$19&gt;=400,3,IF(Las3!$D$19&gt;=200,2,IF(Las3!$D$19&gt;=100,1,IF(Las3!$D$19&lt;50,-1,0)))))))</f>
        <v>2</v>
      </c>
    </row>
    <row r="293" spans="4:7" ht="12.75">
      <c r="D293" t="s">
        <v>1378</v>
      </c>
      <c r="E293">
        <f>ROUND(2.5*SQRT(Las3!D$27),0)</f>
        <v>11</v>
      </c>
      <c r="F293">
        <f>MAX(0,VLOOKUP($E293*Las3!$D$18,$A$2:$B$61,2)+MIN(VLOOKUP($E293*Las3!$D$18,$A$2:$B$61,2),IF(Las3!$D$19&gt;=800,4,IF(Las3!$D$19&gt;=400,3,IF(Las3!$D$19&gt;=200,2,IF(Las3!$D$19&gt;=100,1,IF(Las3!$D$19&lt;50,-1,0)))))))</f>
        <v>0</v>
      </c>
      <c r="G293">
        <f>MAX(0,VLOOKUP($E293*Las3!$D$18*Las3!$D$44,$A$2:$B$61,2)+MIN(VLOOKUP($E293*Las3!$D$18*Las3!$D$44,$A$2:$B$61,2),IF(Las3!$D$19&gt;=800,4,IF(Las3!$D$19&gt;=400,3,IF(Las3!$D$19&gt;=200,2,IF(Las3!$D$19&gt;=100,1,IF(Las3!$D$19&lt;50,-1,0)))))))</f>
        <v>0</v>
      </c>
    </row>
    <row r="294" spans="4:7" ht="12.75">
      <c r="D294" t="s">
        <v>1379</v>
      </c>
      <c r="E294">
        <f>ROUND(2.5*SQRT(Las3!D$28),0)</f>
        <v>6</v>
      </c>
      <c r="F294">
        <f>MAX(0,VLOOKUP($E294*Las3!$D$18,$A$2:$B$61,2)+MIN(VLOOKUP($E294*Las3!$D$18,$A$2:$B$61,2),IF(Las3!$D$19&gt;=800,4,IF(Las3!$D$19&gt;=400,3,IF(Las3!$D$19&gt;=200,2,IF(Las3!$D$19&gt;=100,1,IF(Las3!$D$19&lt;50,-1,0)))))))</f>
        <v>0</v>
      </c>
      <c r="G294">
        <f>MAX(0,VLOOKUP($E294*Las3!$D$18*Las3!$D$44,$A$2:$B$61,2)+MIN(VLOOKUP($E294*Las3!$D$18*Las3!$D$44,$A$2:$B$61,2),IF(Las3!$D$19&gt;=800,4,IF(Las3!$D$19&gt;=400,3,IF(Las3!$D$19&gt;=200,2,IF(Las3!$D$19&gt;=100,1,IF(Las3!$D$19&lt;50,-1,0)))))))</f>
        <v>0</v>
      </c>
    </row>
    <row r="295" spans="4:7" ht="12.75">
      <c r="D295" t="s">
        <v>1380</v>
      </c>
      <c r="E295">
        <f>ROUND(2.5*SQRT(Las3!D$29),0)</f>
        <v>3</v>
      </c>
      <c r="F295">
        <f>MAX(0,VLOOKUP($E295*Las3!$D$18,$A$2:$B$61,2)+MIN(VLOOKUP($E295*Las3!$D$18,$A$2:$B$61,2),IF(Las3!$D$19&gt;=800,4,IF(Las3!$D$19&gt;=400,3,IF(Las3!$D$19&gt;=200,2,IF(Las3!$D$19&gt;=100,1,IF(Las3!$D$19&lt;50,-1,0)))))))</f>
        <v>0</v>
      </c>
      <c r="G295">
        <f>MAX(0,VLOOKUP($E295*Las3!$D$18*Las3!$D$44,$A$2:$B$61,2)+MIN(VLOOKUP($E295*Las3!$D$18*Las3!$D$44,$A$2:$B$61,2),IF(Las3!$D$19&gt;=800,4,IF(Las3!$D$19&gt;=400,3,IF(Las3!$D$19&gt;=200,2,IF(Las3!$D$19&gt;=100,1,IF(Las3!$D$19&lt;50,-1,0)))))))</f>
        <v>0</v>
      </c>
    </row>
    <row r="296" spans="4:8" ht="12.75">
      <c r="D296" t="s">
        <v>1381</v>
      </c>
      <c r="E296" s="473">
        <f>ROUND(2.5*SQRT(Las3!$E$25),0)</f>
        <v>40</v>
      </c>
      <c r="F296" s="473">
        <f>VLOOKUP($E296*Las3!$D$18,$A$112:$B$137,2)+MIN($E301,0)</f>
        <v>8</v>
      </c>
      <c r="G296" s="473">
        <f>VLOOKUP($E296*Las3!$D$18*Las3!$D$44,$A$112:$B$137,2)+MIN($E301,0)</f>
        <v>8</v>
      </c>
      <c r="H296" s="473">
        <f>IF(F296=0,0,VLOOKUP(E296*10,$A$112:$B$137,2))</f>
        <v>14</v>
      </c>
    </row>
    <row r="297" spans="4:8" ht="12.75">
      <c r="D297" t="s">
        <v>1382</v>
      </c>
      <c r="E297" s="473">
        <f>ROUND(2.5*SQRT(Las3!$E$26),0)</f>
        <v>22</v>
      </c>
      <c r="F297" s="473">
        <f>VLOOKUP($E297*Las3!$D$18,$A$112:$B$137,2)+MIN($E301,0)</f>
        <v>7</v>
      </c>
      <c r="G297" s="473">
        <f>VLOOKUP($E297*Las3!$D$18*Las3!$D$44,$A$112:$B$137,2)+MIN($E301,0)</f>
        <v>7</v>
      </c>
      <c r="H297" s="473">
        <f>IF(F297=0,0,VLOOKUP(E297*10,$A$112:$B$137,2))</f>
        <v>13</v>
      </c>
    </row>
    <row r="298" spans="4:8" ht="12.75">
      <c r="D298" t="s">
        <v>1383</v>
      </c>
      <c r="E298" s="473">
        <f>ROUND(2.5*SQRT(Las3!$E$27),0)</f>
        <v>11</v>
      </c>
      <c r="F298" s="473">
        <f>VLOOKUP($E298*Las3!$D$18,$A$112:$B$137,2)+MIN($E301,0)</f>
        <v>5</v>
      </c>
      <c r="G298" s="473">
        <f>VLOOKUP($E298*Las3!$D$18*Las3!$D$44,$A$112:$B$137,2)+MIN($E301,0)</f>
        <v>5</v>
      </c>
      <c r="H298" s="473">
        <f>IF(F298=0,0,VLOOKUP(E298*10,$A$112:$B$137,2))</f>
        <v>11</v>
      </c>
    </row>
    <row r="299" spans="4:8" ht="12.75">
      <c r="D299" t="s">
        <v>1384</v>
      </c>
      <c r="E299" s="473">
        <f>ROUND(2.5*SQRT(Las3!$E$28),0)</f>
        <v>6</v>
      </c>
      <c r="F299" s="473">
        <f>VLOOKUP($E299*Las3!$D$18,$A$112:$B$137,2)+MIN($E301,0)</f>
        <v>3</v>
      </c>
      <c r="G299" s="473">
        <f>VLOOKUP($E299*Las3!$D$18*Las3!$D$44,$A$112:$B$137,2)+MIN($E301,0)</f>
        <v>3</v>
      </c>
      <c r="H299" s="473">
        <f>IF(F299=0,0,VLOOKUP(E299*10,$A$112:$B$137,2))</f>
        <v>9</v>
      </c>
    </row>
    <row r="300" spans="4:8" ht="12.75">
      <c r="D300" t="s">
        <v>1385</v>
      </c>
      <c r="E300" s="473">
        <f>ROUND(2.5*SQRT(Las3!$E$29),0)</f>
        <v>0</v>
      </c>
      <c r="F300" s="473">
        <f>VLOOKUP($E300*Las3!$D$18,$A$112:$B$137,2)+MIN($E301,0)</f>
        <v>0</v>
      </c>
      <c r="G300" s="473">
        <f>VLOOKUP($E300*Las3!$D$18*Las3!$D$44,$A$112:$B$137,2)+MIN($E301,0)</f>
        <v>0</v>
      </c>
      <c r="H300" s="473">
        <f>IF(F300=0,0,VLOOKUP(E300*10,$A$112:$B$137,2))</f>
        <v>0</v>
      </c>
    </row>
    <row r="301" spans="4:7" ht="12.75">
      <c r="D301" s="473" t="s">
        <v>1386</v>
      </c>
      <c r="E301" s="473">
        <f>VLOOKUP(Las3!$D$19,$A$151:$B$161,2)</f>
        <v>1</v>
      </c>
      <c r="F301" s="473"/>
      <c r="G301" s="473"/>
    </row>
    <row r="302" spans="4:7" ht="12.75">
      <c r="D302" s="473" t="s">
        <v>1387</v>
      </c>
      <c r="E302" s="473">
        <f>VLOOKUP(Las3!$D$18,$A$140:$B$148,2)+VLOOKUP(MAX(Las3!$D$19,Las3!$D$20),$A$151:$B$161,2)+MIN(F296-4,0)</f>
        <v>1</v>
      </c>
      <c r="F302" s="473"/>
      <c r="G302" s="473"/>
    </row>
    <row r="303" spans="4:7" ht="12.75">
      <c r="D303" s="551" t="s">
        <v>1388</v>
      </c>
      <c r="E303" s="551">
        <f>VLOOKUP(Las3!$D$18*Las3!$D$44,$A$140:$B$148,2)+VLOOKUP(MAX(Las3!$D$19,Las3!$D$20),$A$151:$B$161,2)+MIN(F296-4,0)</f>
        <v>1</v>
      </c>
      <c r="F303" s="473"/>
      <c r="G303" s="473"/>
    </row>
    <row r="305" ht="12.75">
      <c r="D305" s="14" t="s">
        <v>1391</v>
      </c>
    </row>
    <row r="306" spans="4:5" ht="12.75">
      <c r="D306" t="s">
        <v>1371</v>
      </c>
      <c r="E306">
        <f>Las4!D$12/CHOOSE((Las4!D$15+1),CHOOSE((Las4!D$7+1),0,0,0,0,0,0,0,0.2,0.25,0.3,0.35,0.45,0.55,0.65,0.75,0.85,0.95,0.95,0.95,0.95,0.95,0.95),0.2)</f>
        <v>1500</v>
      </c>
    </row>
    <row r="307" spans="4:5" ht="12.75">
      <c r="D307" t="s">
        <v>1372</v>
      </c>
      <c r="E307">
        <f>CHOOSE((Las4!D$15+1),Las4!D$9,(Las4!D$9^2)*CHOOSE((Las4!D$11+1),CHOOSE((Las4!D$7+1),0,0,0,0,0,0,0,0,0,10,90,160,250,360,360,360,360,360,360,360,360),CHOOSE((Las3!J$7+1),0,0,0,0,0,0,0,0,0,0,0,0,0,160,250,360,360,360,360,360,360,360,360,360,360)))</f>
        <v>1690.0000000000002</v>
      </c>
    </row>
    <row r="308" spans="4:5" ht="12.75">
      <c r="D308" t="s">
        <v>1123</v>
      </c>
      <c r="E308">
        <f>E307*CHOOSE((Las4!D$11+1),CHOOSE((Las4!D$7+1),0,0,0,0,0,0,0,3,20,33,50,100,100,100,100,1000,2000,5000,10000,50000,100000,200000),100000)</f>
        <v>169000.00000000003</v>
      </c>
    </row>
    <row r="309" spans="4:5" ht="12.75">
      <c r="D309" t="s">
        <v>1373</v>
      </c>
      <c r="E309">
        <f>IF(Las4!D$19/30&gt;=24,8,IF(Las4!D$19/30&gt;=12,4,IF(Las4!D$19/30&gt;6,2,1)))</f>
        <v>1</v>
      </c>
    </row>
    <row r="310" spans="4:5" ht="12.75">
      <c r="D310" s="473" t="s">
        <v>1374</v>
      </c>
      <c r="E310" s="473">
        <f>ROUND(((E306*Las4!$D$20)/1800*Las4!$D$18)/30,3)</f>
        <v>2.778</v>
      </c>
    </row>
    <row r="311" spans="4:5" ht="12.75">
      <c r="D311" t="s">
        <v>1375</v>
      </c>
      <c r="E311">
        <f>SUM(Las4!D$33:D$38)</f>
        <v>134.98178747537003</v>
      </c>
    </row>
    <row r="312" spans="4:6" ht="12.75">
      <c r="D312" t="s">
        <v>1376</v>
      </c>
      <c r="E312">
        <f>ROUND((6*E311/PI())^(1/3)*PI(),2)</f>
        <v>19.99</v>
      </c>
      <c r="F312">
        <f>(Las4!D$21/$F$9)/100</f>
        <v>0</v>
      </c>
    </row>
    <row r="313" spans="4:7" ht="12.75">
      <c r="D313" t="s">
        <v>1377</v>
      </c>
      <c r="E313">
        <f>ROUND(2.5*SQRT(Las4!D$26),0)</f>
        <v>24</v>
      </c>
      <c r="F313">
        <f>MAX(0,VLOOKUP($E313*Las4!$D$18,$A$2:$B$61,2)+MIN(VLOOKUP($E313*Las4!$D$18,$A$2:$B$61,2),IF(Las4!$D$19&gt;=800,4,IF(Las4!$D$19&gt;=400,3,IF(Las4!$D$19&gt;=200,2,IF(Las4!$D$19&gt;=100,1,IF(Las4!$D$19&lt;50,-1,0)))))))</f>
        <v>2</v>
      </c>
      <c r="G313">
        <f>MAX(0,VLOOKUP($E313*Las4!$D$18*Las3!$D$44,$A$2:$B$61,2)+MIN(VLOOKUP($E313*Las4!$D$18*Las4!$D$44,$A$2:$B$61,2),IF(Las4!$D$19&gt;=800,4,IF(Las4!$D$19&gt;=400,3,IF(Las4!$D$19&gt;=200,2,IF(Las4!$D$19&gt;=100,1,IF(Las4!$D$19&lt;50,-1,0)))))))</f>
        <v>2</v>
      </c>
    </row>
    <row r="314" spans="4:7" ht="12.75">
      <c r="D314" t="s">
        <v>1378</v>
      </c>
      <c r="E314">
        <f>ROUND(2.5*SQRT(Las4!D$27),0)</f>
        <v>12</v>
      </c>
      <c r="F314">
        <f>MAX(0,VLOOKUP($E314*Las4!$D$18,$A$2:$B$61,2)+MIN(VLOOKUP($E314*Las4!$D$18,$A$2:$B$61,2),IF(Las4!$D$19&gt;=800,4,IF(Las4!$D$19&gt;=400,3,IF(Las4!$D$19&gt;=200,2,IF(Las4!$D$19&gt;=100,1,IF(Las4!$D$19&lt;50,-1,0)))))))</f>
        <v>0</v>
      </c>
      <c r="G314">
        <f>MAX(0,VLOOKUP($E314*Las4!$D$18*Las3!$D$44,$A$2:$B$61,2)+MIN(VLOOKUP($E314*Las4!$D$18*Las4!$D$44,$A$2:$B$61,2),IF(Las4!$D$19&gt;=800,4,IF(Las4!$D$19&gt;=400,3,IF(Las4!$D$19&gt;=200,2,IF(Las4!$D$19&gt;=100,1,IF(Las4!$D$19&lt;50,-1,0)))))))</f>
        <v>0</v>
      </c>
    </row>
    <row r="315" spans="4:7" ht="12.75">
      <c r="D315" t="s">
        <v>1379</v>
      </c>
      <c r="E315">
        <f>ROUND(2.5*SQRT(Las4!D$28),0)</f>
        <v>6</v>
      </c>
      <c r="F315">
        <f>MAX(0,VLOOKUP($E315*Las4!$D$18,$A$2:$B$61,2)+MIN(VLOOKUP($E315*Las4!$D$18,$A$2:$B$61,2),IF(Las4!$D$19&gt;=800,4,IF(Las4!$D$19&gt;=400,3,IF(Las4!$D$19&gt;=200,2,IF(Las4!$D$19&gt;=100,1,IF(Las4!$D$19&lt;50,-1,0)))))))</f>
        <v>0</v>
      </c>
      <c r="G315">
        <f>MAX(0,VLOOKUP($E315*Las4!$D$18*Las3!$D$44,$A$2:$B$61,2)+MIN(VLOOKUP($E315*Las4!$D$18*Las4!$D$44,$A$2:$B$61,2),IF(Las4!$D$19&gt;=800,4,IF(Las4!$D$19&gt;=400,3,IF(Las4!$D$19&gt;=200,2,IF(Las4!$D$19&gt;=100,1,IF(Las4!$D$19&lt;50,-1,0)))))))</f>
        <v>0</v>
      </c>
    </row>
    <row r="316" spans="4:7" ht="12.75">
      <c r="D316" t="s">
        <v>1380</v>
      </c>
      <c r="E316">
        <f>ROUND(2.5*SQRT(Las4!D$29),0)</f>
        <v>3</v>
      </c>
      <c r="F316">
        <f>MAX(0,VLOOKUP($E316*Las4!$D$18,$A$2:$B$61,2)+MIN(VLOOKUP($E316*Las4!$D$18,$A$2:$B$61,2),IF(Las4!$D$19&gt;=800,4,IF(Las4!$D$19&gt;=400,3,IF(Las4!$D$19&gt;=200,2,IF(Las4!$D$19&gt;=100,1,IF(Las4!$D$19&lt;50,-1,0)))))))</f>
        <v>0</v>
      </c>
      <c r="G316">
        <f>MAX(0,VLOOKUP($E316*Las4!$D$18*Las3!$D$44,$A$2:$B$61,2)+MIN(VLOOKUP($E316*Las4!$D$18*Las4!$D$44,$A$2:$B$61,2),IF(Las4!$D$19&gt;=800,4,IF(Las4!$D$19&gt;=400,3,IF(Las4!$D$19&gt;=200,2,IF(Las4!$D$19&gt;=100,1,IF(Las4!$D$19&lt;50,-1,0)))))))</f>
        <v>0</v>
      </c>
    </row>
    <row r="317" spans="4:8" ht="12.75">
      <c r="D317" t="s">
        <v>1381</v>
      </c>
      <c r="E317" s="473">
        <f>ROUND(2.5*SQRT(Las4!$E$25),0)</f>
        <v>43</v>
      </c>
      <c r="F317" s="473">
        <f>VLOOKUP($E317*Las4!$D$18,$A$112:$B$137,2)+MIN($E322,0)</f>
        <v>8</v>
      </c>
      <c r="G317" s="473">
        <f>VLOOKUP($E317*Las4!$D$18*Las4!$D$44,$A$112:$B$137,2)+MIN($E322,0)</f>
        <v>8</v>
      </c>
      <c r="H317" s="473">
        <f>IF(F317=0,0,VLOOKUP(E317*10,$A$112:$B$137,2))</f>
        <v>14</v>
      </c>
    </row>
    <row r="318" spans="4:8" ht="12.75">
      <c r="D318" t="s">
        <v>1382</v>
      </c>
      <c r="E318" s="473">
        <f>ROUND(2.5*SQRT(Las4!$E$26),0)</f>
        <v>24</v>
      </c>
      <c r="F318" s="473">
        <f>VLOOKUP($E318*Las4!$D$18,$A$112:$B$137,2)+MIN($E322,0)</f>
        <v>7</v>
      </c>
      <c r="G318" s="473">
        <f>VLOOKUP($E318*Las4!$D$18*Las4!$D$44,$A$112:$B$137,2)+MIN($E322,0)</f>
        <v>7</v>
      </c>
      <c r="H318" s="473">
        <f>IF(F318=0,0,VLOOKUP(E318*10,$A$112:$B$137,2))</f>
        <v>13</v>
      </c>
    </row>
    <row r="319" spans="4:8" ht="12.75">
      <c r="D319" t="s">
        <v>1383</v>
      </c>
      <c r="E319" s="473">
        <f>ROUND(2.5*SQRT(Las4!$E$27),0)</f>
        <v>12</v>
      </c>
      <c r="F319" s="473">
        <f>VLOOKUP($E319*Las4!$D$18,$A$112:$B$137,2)+MIN($E322,0)</f>
        <v>5</v>
      </c>
      <c r="G319" s="473">
        <f>VLOOKUP($E319*Las4!$D$18*Las4!$D$44,$A$112:$B$137,2)+MIN($E322,0)</f>
        <v>5</v>
      </c>
      <c r="H319" s="473">
        <f>IF(F319=0,0,VLOOKUP(E319*10,$A$112:$B$137,2))</f>
        <v>11</v>
      </c>
    </row>
    <row r="320" spans="4:8" ht="12.75">
      <c r="D320" t="s">
        <v>1384</v>
      </c>
      <c r="E320" s="473">
        <f>ROUND(2.5*SQRT(Las4!$E$28),0)</f>
        <v>6</v>
      </c>
      <c r="F320" s="473">
        <f>VLOOKUP($E320*Las4!$D$18,$A$112:$B$137,2)+MIN($E322,0)</f>
        <v>3</v>
      </c>
      <c r="G320" s="473">
        <f>VLOOKUP($E320*Las4!$D$18*Las4!$D$44,$A$112:$B$137,2)+MIN($E322,0)</f>
        <v>3</v>
      </c>
      <c r="H320" s="473">
        <f>IF(F320=0,0,VLOOKUP(E320*10,$A$112:$B$137,2))</f>
        <v>9</v>
      </c>
    </row>
    <row r="321" spans="4:8" ht="12.75">
      <c r="D321" t="s">
        <v>1385</v>
      </c>
      <c r="E321" s="473">
        <f>ROUND(2.5*SQRT(Las4!$E$29),0)</f>
        <v>0</v>
      </c>
      <c r="F321" s="473">
        <f>VLOOKUP($E321*Las4!$D$18,$A$112:$B$137,2)+MIN($E322,0)</f>
        <v>0</v>
      </c>
      <c r="G321" s="473">
        <f>VLOOKUP($E321*Las4!$D$18*Las4!$D$44,$A$112:$B$137,2)+MIN($E322,0)</f>
        <v>0</v>
      </c>
      <c r="H321" s="473">
        <f>IF(F321=0,0,VLOOKUP(E321*10,$A$112:$B$137,2))</f>
        <v>0</v>
      </c>
    </row>
    <row r="322" spans="4:7" ht="12.75">
      <c r="D322" s="473" t="s">
        <v>1386</v>
      </c>
      <c r="E322" s="473">
        <f>VLOOKUP(Las4!$D$19,$A$151:$B$161,2)</f>
        <v>1</v>
      </c>
      <c r="F322" s="473"/>
      <c r="G322" s="473"/>
    </row>
    <row r="323" spans="4:7" ht="12.75">
      <c r="D323" s="473" t="s">
        <v>1387</v>
      </c>
      <c r="E323" s="473">
        <f>VLOOKUP(Las4!$D$18,$A$140:$B$148,2)+VLOOKUP(MAX(Las4!$D$19,Las4!$D$20),$A$151:$B$161,2)+MIN(F317-4,0)</f>
        <v>1</v>
      </c>
      <c r="F323" s="473"/>
      <c r="G323" s="473"/>
    </row>
    <row r="324" spans="4:7" ht="12.75">
      <c r="D324" s="551" t="s">
        <v>1388</v>
      </c>
      <c r="E324" s="551">
        <f>VLOOKUP(Las4!$D$18*Las4!$D$44,$A$140:$B$148,2)+VLOOKUP(MAX(Las4!$D$19,Las4!$D$20),$A$151:$B$161,2)+MIN(F317-4,0)</f>
        <v>1</v>
      </c>
      <c r="F324" s="473"/>
      <c r="G324" s="473"/>
    </row>
    <row r="326" spans="4:26" ht="12.75">
      <c r="D326" s="14" t="s">
        <v>1392</v>
      </c>
      <c r="E326">
        <v>0</v>
      </c>
      <c r="F326">
        <v>1</v>
      </c>
      <c r="G326">
        <v>2</v>
      </c>
      <c r="H326">
        <v>3</v>
      </c>
      <c r="I326">
        <v>4</v>
      </c>
      <c r="J326">
        <v>5</v>
      </c>
      <c r="K326">
        <v>6</v>
      </c>
      <c r="L326">
        <v>7</v>
      </c>
      <c r="M326">
        <v>8</v>
      </c>
      <c r="N326">
        <v>9</v>
      </c>
      <c r="O326">
        <v>10</v>
      </c>
      <c r="P326">
        <v>11</v>
      </c>
      <c r="Q326">
        <v>12</v>
      </c>
      <c r="R326">
        <v>13</v>
      </c>
      <c r="S326">
        <v>14</v>
      </c>
      <c r="T326">
        <v>15</v>
      </c>
      <c r="U326">
        <v>16</v>
      </c>
      <c r="V326">
        <v>17</v>
      </c>
      <c r="W326">
        <v>18</v>
      </c>
      <c r="X326">
        <v>19</v>
      </c>
      <c r="Y326">
        <v>20</v>
      </c>
      <c r="Z326">
        <v>21</v>
      </c>
    </row>
    <row r="327" spans="4:26" ht="12.75">
      <c r="D327">
        <v>0</v>
      </c>
      <c r="E327" t="e">
        <f>#VALUE!</f>
        <v>#VALUE!</v>
      </c>
      <c r="F327" t="e">
        <f>#VALUE!</f>
        <v>#VALUE!</v>
      </c>
      <c r="G327" t="e">
        <f>#VALUE!</f>
        <v>#VALUE!</v>
      </c>
      <c r="H327" t="e">
        <f>#VALUE!</f>
        <v>#VALUE!</v>
      </c>
      <c r="I327" t="e">
        <f>#VALUE!</f>
        <v>#VALUE!</v>
      </c>
      <c r="J327" t="e">
        <f>#VALUE!</f>
        <v>#VALUE!</v>
      </c>
      <c r="K327" t="e">
        <f>#VALUE!</f>
        <v>#VALUE!</v>
      </c>
      <c r="L327" t="e">
        <f>#VALUE!</f>
        <v>#VALUE!</v>
      </c>
      <c r="M327">
        <v>0.29</v>
      </c>
      <c r="N327">
        <v>0.2</v>
      </c>
      <c r="O327">
        <v>0.2</v>
      </c>
      <c r="P327">
        <v>0.16</v>
      </c>
      <c r="Q327">
        <v>0.16</v>
      </c>
      <c r="R327">
        <v>0.13</v>
      </c>
      <c r="S327">
        <v>0.13</v>
      </c>
      <c r="T327">
        <v>0.1</v>
      </c>
      <c r="U327">
        <v>0.1</v>
      </c>
      <c r="V327">
        <v>0.08</v>
      </c>
      <c r="W327">
        <v>0.08</v>
      </c>
      <c r="X327">
        <v>0.08</v>
      </c>
      <c r="Y327">
        <v>0.08</v>
      </c>
      <c r="Z327">
        <v>0.08</v>
      </c>
    </row>
    <row r="328" spans="4:26" ht="12.75">
      <c r="D328">
        <v>1</v>
      </c>
      <c r="E328" t="e">
        <f>#VALUE!</f>
        <v>#VALUE!</v>
      </c>
      <c r="F328" t="e">
        <f>#VALUE!</f>
        <v>#VALUE!</v>
      </c>
      <c r="G328" t="e">
        <f>#VALUE!</f>
        <v>#VALUE!</v>
      </c>
      <c r="H328" t="e">
        <f>#VALUE!</f>
        <v>#VALUE!</v>
      </c>
      <c r="I328" t="e">
        <f>#VALUE!</f>
        <v>#VALUE!</v>
      </c>
      <c r="J328" t="e">
        <f>#VALUE!</f>
        <v>#VALUE!</v>
      </c>
      <c r="K328" t="e">
        <f>#VALUE!</f>
        <v>#VALUE!</v>
      </c>
      <c r="L328" t="e">
        <f>#VALUE!</f>
        <v>#VALUE!</v>
      </c>
      <c r="M328">
        <v>0.32</v>
      </c>
      <c r="N328">
        <v>0.22</v>
      </c>
      <c r="O328">
        <v>0.22</v>
      </c>
      <c r="P328">
        <v>0.18</v>
      </c>
      <c r="Q328">
        <v>0.18</v>
      </c>
      <c r="R328">
        <v>0.15</v>
      </c>
      <c r="S328">
        <v>0.15</v>
      </c>
      <c r="T328">
        <v>0.11</v>
      </c>
      <c r="U328">
        <v>0.11</v>
      </c>
      <c r="V328">
        <v>0.09</v>
      </c>
      <c r="W328">
        <v>0.09</v>
      </c>
      <c r="X328">
        <v>0.09</v>
      </c>
      <c r="Y328">
        <v>0.09</v>
      </c>
      <c r="Z328">
        <v>0.09</v>
      </c>
    </row>
    <row r="329" spans="4:26" ht="12.75">
      <c r="D329">
        <v>2</v>
      </c>
      <c r="E329" t="e">
        <f>#VALUE!</f>
        <v>#VALUE!</v>
      </c>
      <c r="F329" t="e">
        <f>#VALUE!</f>
        <v>#VALUE!</v>
      </c>
      <c r="G329" t="e">
        <f>#VALUE!</f>
        <v>#VALUE!</v>
      </c>
      <c r="H329" t="e">
        <f>#VALUE!</f>
        <v>#VALUE!</v>
      </c>
      <c r="I329" t="e">
        <f>#VALUE!</f>
        <v>#VALUE!</v>
      </c>
      <c r="J329" t="e">
        <f>#VALUE!</f>
        <v>#VALUE!</v>
      </c>
      <c r="K329" t="e">
        <f>#VALUE!</f>
        <v>#VALUE!</v>
      </c>
      <c r="L329" t="e">
        <f>#VALUE!</f>
        <v>#VALUE!</v>
      </c>
      <c r="M329">
        <v>0.35</v>
      </c>
      <c r="N329">
        <v>0.24</v>
      </c>
      <c r="O329">
        <v>0.24</v>
      </c>
      <c r="P329">
        <v>0.2</v>
      </c>
      <c r="Q329">
        <v>0.2</v>
      </c>
      <c r="R329">
        <v>0.17</v>
      </c>
      <c r="S329">
        <v>0.17</v>
      </c>
      <c r="T329">
        <v>0.13</v>
      </c>
      <c r="U329">
        <v>0.13</v>
      </c>
      <c r="V329">
        <v>0.1</v>
      </c>
      <c r="W329">
        <v>0.1</v>
      </c>
      <c r="X329">
        <v>0.1</v>
      </c>
      <c r="Y329">
        <v>0.1</v>
      </c>
      <c r="Z329">
        <v>0.1</v>
      </c>
    </row>
    <row r="330" spans="4:26" ht="12.75">
      <c r="D330">
        <v>3</v>
      </c>
      <c r="E330" t="e">
        <f>#VALUE!</f>
        <v>#VALUE!</v>
      </c>
      <c r="F330" t="e">
        <f>#VALUE!</f>
        <v>#VALUE!</v>
      </c>
      <c r="G330" t="e">
        <f>#VALUE!</f>
        <v>#VALUE!</v>
      </c>
      <c r="H330" t="e">
        <f>#VALUE!</f>
        <v>#VALUE!</v>
      </c>
      <c r="I330" t="e">
        <f>#VALUE!</f>
        <v>#VALUE!</v>
      </c>
      <c r="J330" t="e">
        <f>#VALUE!</f>
        <v>#VALUE!</v>
      </c>
      <c r="K330" t="e">
        <f>#VALUE!</f>
        <v>#VALUE!</v>
      </c>
      <c r="L330" t="e">
        <f>#VALUE!</f>
        <v>#VALUE!</v>
      </c>
      <c r="M330">
        <v>0.39</v>
      </c>
      <c r="N330">
        <v>0.27</v>
      </c>
      <c r="O330">
        <v>0.27</v>
      </c>
      <c r="P330">
        <v>0.22</v>
      </c>
      <c r="Q330">
        <v>0.22</v>
      </c>
      <c r="R330">
        <v>0.19</v>
      </c>
      <c r="S330">
        <v>0.19</v>
      </c>
      <c r="T330">
        <v>0.15</v>
      </c>
      <c r="U330">
        <v>0.15</v>
      </c>
      <c r="V330">
        <v>0.11</v>
      </c>
      <c r="W330">
        <v>0.11</v>
      </c>
      <c r="X330">
        <v>0.11</v>
      </c>
      <c r="Y330">
        <v>0.11</v>
      </c>
      <c r="Z330">
        <v>0.11</v>
      </c>
    </row>
    <row r="331" spans="4:26" ht="12.75">
      <c r="D331">
        <v>4</v>
      </c>
      <c r="E331" t="e">
        <f>#VALUE!</f>
        <v>#VALUE!</v>
      </c>
      <c r="F331" t="e">
        <f>#VALUE!</f>
        <v>#VALUE!</v>
      </c>
      <c r="G331" t="e">
        <f>#VALUE!</f>
        <v>#VALUE!</v>
      </c>
      <c r="H331" t="e">
        <f>#VALUE!</f>
        <v>#VALUE!</v>
      </c>
      <c r="I331" t="e">
        <f>#VALUE!</f>
        <v>#VALUE!</v>
      </c>
      <c r="J331" t="e">
        <f>#VALUE!</f>
        <v>#VALUE!</v>
      </c>
      <c r="K331" t="e">
        <f>#VALUE!</f>
        <v>#VALUE!</v>
      </c>
      <c r="L331" t="e">
        <f>#VALUE!</f>
        <v>#VALUE!</v>
      </c>
      <c r="M331">
        <v>0.51</v>
      </c>
      <c r="N331">
        <v>0.36</v>
      </c>
      <c r="O331">
        <v>0.36</v>
      </c>
      <c r="P331">
        <v>0.28</v>
      </c>
      <c r="Q331">
        <v>0.28</v>
      </c>
      <c r="R331">
        <v>0.25</v>
      </c>
      <c r="S331">
        <v>0.25</v>
      </c>
      <c r="T331">
        <v>0.17</v>
      </c>
      <c r="U331">
        <v>0.17</v>
      </c>
      <c r="V331">
        <v>0.13</v>
      </c>
      <c r="W331">
        <v>0.13</v>
      </c>
      <c r="X331">
        <v>0.13</v>
      </c>
      <c r="Y331">
        <v>0.13</v>
      </c>
      <c r="Z331">
        <v>0.13</v>
      </c>
    </row>
    <row r="332" spans="4:26" ht="12.75">
      <c r="D332">
        <v>5</v>
      </c>
      <c r="E332" t="e">
        <f>#VALUE!</f>
        <v>#VALUE!</v>
      </c>
      <c r="F332" t="e">
        <f>#VALUE!</f>
        <v>#VALUE!</v>
      </c>
      <c r="G332" t="e">
        <f>#VALUE!</f>
        <v>#VALUE!</v>
      </c>
      <c r="H332" t="e">
        <f>#VALUE!</f>
        <v>#VALUE!</v>
      </c>
      <c r="I332" t="e">
        <f>#VALUE!</f>
        <v>#VALUE!</v>
      </c>
      <c r="J332" t="e">
        <f>#VALUE!</f>
        <v>#VALUE!</v>
      </c>
      <c r="K332" t="e">
        <f>#VALUE!</f>
        <v>#VALUE!</v>
      </c>
      <c r="L332" t="e">
        <f>#VALUE!</f>
        <v>#VALUE!</v>
      </c>
      <c r="M332">
        <v>0.71</v>
      </c>
      <c r="N332">
        <v>0.51</v>
      </c>
      <c r="O332">
        <v>0.51</v>
      </c>
      <c r="P332">
        <v>0.4</v>
      </c>
      <c r="Q332">
        <v>0.4</v>
      </c>
      <c r="R332">
        <v>0.36</v>
      </c>
      <c r="S332">
        <v>0.36</v>
      </c>
      <c r="T332">
        <v>0.25</v>
      </c>
      <c r="U332">
        <v>0.25</v>
      </c>
      <c r="V332">
        <v>0.17</v>
      </c>
      <c r="W332">
        <v>0.17</v>
      </c>
      <c r="X332">
        <v>0.17</v>
      </c>
      <c r="Y332">
        <v>0.17</v>
      </c>
      <c r="Z332">
        <v>0.17</v>
      </c>
    </row>
    <row r="334" spans="4:26" ht="12.75">
      <c r="D334" s="14" t="s">
        <v>1393</v>
      </c>
      <c r="E334">
        <v>0</v>
      </c>
      <c r="F334">
        <v>1</v>
      </c>
      <c r="G334">
        <v>2</v>
      </c>
      <c r="H334">
        <v>3</v>
      </c>
      <c r="I334">
        <v>4</v>
      </c>
      <c r="J334">
        <v>5</v>
      </c>
      <c r="K334">
        <v>6</v>
      </c>
      <c r="L334">
        <v>7</v>
      </c>
      <c r="M334">
        <v>8</v>
      </c>
      <c r="N334">
        <v>9</v>
      </c>
      <c r="O334">
        <v>10</v>
      </c>
      <c r="P334">
        <v>11</v>
      </c>
      <c r="Q334">
        <v>12</v>
      </c>
      <c r="R334">
        <v>13</v>
      </c>
      <c r="S334">
        <v>14</v>
      </c>
      <c r="T334">
        <v>15</v>
      </c>
      <c r="U334">
        <v>16</v>
      </c>
      <c r="V334">
        <v>17</v>
      </c>
      <c r="W334">
        <v>18</v>
      </c>
      <c r="X334">
        <v>19</v>
      </c>
      <c r="Y334">
        <v>20</v>
      </c>
      <c r="Z334">
        <v>21</v>
      </c>
    </row>
    <row r="335" spans="4:26" ht="12.75">
      <c r="D335">
        <v>0</v>
      </c>
      <c r="E335" t="e">
        <f>#VALUE!</f>
        <v>#VALUE!</v>
      </c>
      <c r="F335" t="e">
        <f>#VALUE!</f>
        <v>#VALUE!</v>
      </c>
      <c r="G335" t="e">
        <f>#VALUE!</f>
        <v>#VALUE!</v>
      </c>
      <c r="H335" t="e">
        <f>#VALUE!</f>
        <v>#VALUE!</v>
      </c>
      <c r="I335" t="e">
        <f>#VALUE!</f>
        <v>#VALUE!</v>
      </c>
      <c r="J335" t="e">
        <f>#VALUE!</f>
        <v>#VALUE!</v>
      </c>
      <c r="K335" t="e">
        <f>#VALUE!</f>
        <v>#VALUE!</v>
      </c>
      <c r="L335" t="e">
        <f>#VALUE!</f>
        <v>#VALUE!</v>
      </c>
      <c r="M335" t="e">
        <f>#VALUE!</f>
        <v>#VALUE!</v>
      </c>
      <c r="N335" t="e">
        <f>#VALUE!</f>
        <v>#VALUE!</v>
      </c>
      <c r="O335" t="e">
        <f>#VALUE!</f>
        <v>#VALUE!</v>
      </c>
      <c r="P335" t="e">
        <f>#VALUE!</f>
        <v>#VALUE!</v>
      </c>
      <c r="Q335" t="e">
        <f>#VALUE!</f>
        <v>#VALUE!</v>
      </c>
      <c r="R335">
        <v>0.26</v>
      </c>
      <c r="S335">
        <v>0.26</v>
      </c>
      <c r="T335">
        <v>0.21</v>
      </c>
      <c r="U335">
        <v>0.21</v>
      </c>
      <c r="V335">
        <v>0.16</v>
      </c>
      <c r="W335">
        <v>0.16</v>
      </c>
      <c r="X335">
        <v>0.16</v>
      </c>
      <c r="Y335">
        <v>0.16</v>
      </c>
      <c r="Z335">
        <v>0.16</v>
      </c>
    </row>
    <row r="336" spans="4:26" ht="12.75">
      <c r="D336">
        <v>1</v>
      </c>
      <c r="E336" t="e">
        <f>#VALUE!</f>
        <v>#VALUE!</v>
      </c>
      <c r="F336" t="e">
        <f>#VALUE!</f>
        <v>#VALUE!</v>
      </c>
      <c r="G336" t="e">
        <f>#VALUE!</f>
        <v>#VALUE!</v>
      </c>
      <c r="H336" t="e">
        <f>#VALUE!</f>
        <v>#VALUE!</v>
      </c>
      <c r="I336" t="e">
        <f>#VALUE!</f>
        <v>#VALUE!</v>
      </c>
      <c r="J336" t="e">
        <f>#VALUE!</f>
        <v>#VALUE!</v>
      </c>
      <c r="K336" t="e">
        <f>#VALUE!</f>
        <v>#VALUE!</v>
      </c>
      <c r="L336" t="e">
        <f>#VALUE!</f>
        <v>#VALUE!</v>
      </c>
      <c r="M336" t="e">
        <f>#VALUE!</f>
        <v>#VALUE!</v>
      </c>
      <c r="N336" t="e">
        <f>#VALUE!</f>
        <v>#VALUE!</v>
      </c>
      <c r="O336" t="e">
        <f>#VALUE!</f>
        <v>#VALUE!</v>
      </c>
      <c r="P336" t="e">
        <f>#VALUE!</f>
        <v>#VALUE!</v>
      </c>
      <c r="Q336" t="e">
        <f>#VALUE!</f>
        <v>#VALUE!</v>
      </c>
      <c r="R336">
        <v>0.3</v>
      </c>
      <c r="S336">
        <v>0.3</v>
      </c>
      <c r="T336">
        <v>0.23</v>
      </c>
      <c r="U336">
        <v>0.23</v>
      </c>
      <c r="V336">
        <v>0.18</v>
      </c>
      <c r="W336">
        <v>0.18</v>
      </c>
      <c r="X336">
        <v>0.18</v>
      </c>
      <c r="Y336">
        <v>0.18</v>
      </c>
      <c r="Z336">
        <v>0.18</v>
      </c>
    </row>
    <row r="337" spans="4:26" ht="12.75">
      <c r="D337">
        <v>2</v>
      </c>
      <c r="E337" t="e">
        <f>#VALUE!</f>
        <v>#VALUE!</v>
      </c>
      <c r="F337" t="e">
        <f>#VALUE!</f>
        <v>#VALUE!</v>
      </c>
      <c r="G337" t="e">
        <f>#VALUE!</f>
        <v>#VALUE!</v>
      </c>
      <c r="H337" t="e">
        <f>#VALUE!</f>
        <v>#VALUE!</v>
      </c>
      <c r="I337" t="e">
        <f>#VALUE!</f>
        <v>#VALUE!</v>
      </c>
      <c r="J337" t="e">
        <f>#VALUE!</f>
        <v>#VALUE!</v>
      </c>
      <c r="K337" t="e">
        <f>#VALUE!</f>
        <v>#VALUE!</v>
      </c>
      <c r="L337" t="e">
        <f>#VALUE!</f>
        <v>#VALUE!</v>
      </c>
      <c r="M337" t="e">
        <f>#VALUE!</f>
        <v>#VALUE!</v>
      </c>
      <c r="N337" t="e">
        <f>#VALUE!</f>
        <v>#VALUE!</v>
      </c>
      <c r="O337" t="e">
        <f>#VALUE!</f>
        <v>#VALUE!</v>
      </c>
      <c r="P337" t="e">
        <f>#VALUE!</f>
        <v>#VALUE!</v>
      </c>
      <c r="Q337" t="e">
        <f>#VALUE!</f>
        <v>#VALUE!</v>
      </c>
      <c r="R337">
        <v>0.34</v>
      </c>
      <c r="S337">
        <v>0.34</v>
      </c>
      <c r="T337">
        <v>0.25</v>
      </c>
      <c r="U337">
        <v>0.25</v>
      </c>
      <c r="V337">
        <v>0.2</v>
      </c>
      <c r="W337">
        <v>0.2</v>
      </c>
      <c r="X337">
        <v>0.2</v>
      </c>
      <c r="Y337">
        <v>0.2</v>
      </c>
      <c r="Z337">
        <v>0.2</v>
      </c>
    </row>
    <row r="338" spans="4:26" ht="12.75">
      <c r="D338">
        <v>3</v>
      </c>
      <c r="E338" t="e">
        <f>#VALUE!</f>
        <v>#VALUE!</v>
      </c>
      <c r="F338" t="e">
        <f>#VALUE!</f>
        <v>#VALUE!</v>
      </c>
      <c r="G338" t="e">
        <f>#VALUE!</f>
        <v>#VALUE!</v>
      </c>
      <c r="H338" t="e">
        <f>#VALUE!</f>
        <v>#VALUE!</v>
      </c>
      <c r="I338" t="e">
        <f>#VALUE!</f>
        <v>#VALUE!</v>
      </c>
      <c r="J338" t="e">
        <f>#VALUE!</f>
        <v>#VALUE!</v>
      </c>
      <c r="K338" t="e">
        <f>#VALUE!</f>
        <v>#VALUE!</v>
      </c>
      <c r="L338" t="e">
        <f>#VALUE!</f>
        <v>#VALUE!</v>
      </c>
      <c r="M338" t="e">
        <f>#VALUE!</f>
        <v>#VALUE!</v>
      </c>
      <c r="N338" t="e">
        <f>#VALUE!</f>
        <v>#VALUE!</v>
      </c>
      <c r="O338" t="e">
        <f>#VALUE!</f>
        <v>#VALUE!</v>
      </c>
      <c r="P338" t="e">
        <f>#VALUE!</f>
        <v>#VALUE!</v>
      </c>
      <c r="Q338" t="e">
        <f>#VALUE!</f>
        <v>#VALUE!</v>
      </c>
      <c r="R338">
        <v>0.38</v>
      </c>
      <c r="S338">
        <v>0.38</v>
      </c>
      <c r="T338">
        <v>0.29</v>
      </c>
      <c r="U338">
        <v>0.29</v>
      </c>
      <c r="V338">
        <v>0.22</v>
      </c>
      <c r="W338">
        <v>0.22</v>
      </c>
      <c r="X338">
        <v>0.22</v>
      </c>
      <c r="Y338">
        <v>0.22</v>
      </c>
      <c r="Z338">
        <v>0.22</v>
      </c>
    </row>
    <row r="339" spans="4:26" ht="12.75">
      <c r="D339">
        <v>4</v>
      </c>
      <c r="E339" t="e">
        <f>#VALUE!</f>
        <v>#VALUE!</v>
      </c>
      <c r="F339" t="e">
        <f>#VALUE!</f>
        <v>#VALUE!</v>
      </c>
      <c r="G339" t="e">
        <f>#VALUE!</f>
        <v>#VALUE!</v>
      </c>
      <c r="H339" t="e">
        <f>#VALUE!</f>
        <v>#VALUE!</v>
      </c>
      <c r="I339" t="e">
        <f>#VALUE!</f>
        <v>#VALUE!</v>
      </c>
      <c r="J339" t="e">
        <f>#VALUE!</f>
        <v>#VALUE!</v>
      </c>
      <c r="K339" t="e">
        <f>#VALUE!</f>
        <v>#VALUE!</v>
      </c>
      <c r="L339" t="e">
        <f>#VALUE!</f>
        <v>#VALUE!</v>
      </c>
      <c r="M339" t="e">
        <f>#VALUE!</f>
        <v>#VALUE!</v>
      </c>
      <c r="N339" t="e">
        <f>#VALUE!</f>
        <v>#VALUE!</v>
      </c>
      <c r="O339" t="e">
        <f>#VALUE!</f>
        <v>#VALUE!</v>
      </c>
      <c r="P339" t="e">
        <f>#VALUE!</f>
        <v>#VALUE!</v>
      </c>
      <c r="Q339" t="e">
        <f>#VALUE!</f>
        <v>#VALUE!</v>
      </c>
      <c r="R339">
        <v>0.5</v>
      </c>
      <c r="S339">
        <v>0.5</v>
      </c>
      <c r="T339">
        <v>0.33</v>
      </c>
      <c r="U339">
        <v>0.33</v>
      </c>
      <c r="V339">
        <v>0.26</v>
      </c>
      <c r="W339">
        <v>0.26</v>
      </c>
      <c r="X339">
        <v>0.26</v>
      </c>
      <c r="Y339">
        <v>0.26</v>
      </c>
      <c r="Z339">
        <v>0.26</v>
      </c>
    </row>
    <row r="340" spans="4:26" ht="12.75">
      <c r="D340">
        <v>5</v>
      </c>
      <c r="E340" t="e">
        <f>#VALUE!</f>
        <v>#VALUE!</v>
      </c>
      <c r="F340" t="e">
        <f>#VALUE!</f>
        <v>#VALUE!</v>
      </c>
      <c r="G340" t="e">
        <f>#VALUE!</f>
        <v>#VALUE!</v>
      </c>
      <c r="H340" t="e">
        <f>#VALUE!</f>
        <v>#VALUE!</v>
      </c>
      <c r="I340" t="e">
        <f>#VALUE!</f>
        <v>#VALUE!</v>
      </c>
      <c r="J340" t="e">
        <f>#VALUE!</f>
        <v>#VALUE!</v>
      </c>
      <c r="K340" t="e">
        <f>#VALUE!</f>
        <v>#VALUE!</v>
      </c>
      <c r="L340" t="e">
        <f>#VALUE!</f>
        <v>#VALUE!</v>
      </c>
      <c r="M340" t="e">
        <f>#VALUE!</f>
        <v>#VALUE!</v>
      </c>
      <c r="N340" t="e">
        <f>#VALUE!</f>
        <v>#VALUE!</v>
      </c>
      <c r="O340" t="e">
        <f>#VALUE!</f>
        <v>#VALUE!</v>
      </c>
      <c r="P340" t="e">
        <f>#VALUE!</f>
        <v>#VALUE!</v>
      </c>
      <c r="Q340" t="e">
        <f>#VALUE!</f>
        <v>#VALUE!</v>
      </c>
      <c r="R340">
        <v>0.72</v>
      </c>
      <c r="S340">
        <v>0.72</v>
      </c>
      <c r="T340">
        <v>0.49</v>
      </c>
      <c r="U340">
        <v>0.49</v>
      </c>
      <c r="V340">
        <v>0.34</v>
      </c>
      <c r="W340">
        <v>0.34</v>
      </c>
      <c r="X340">
        <v>0.34</v>
      </c>
      <c r="Y340">
        <v>0.34</v>
      </c>
      <c r="Z340">
        <v>0.34</v>
      </c>
    </row>
    <row r="342" spans="4:5" ht="12.75">
      <c r="D342" t="s">
        <v>1394</v>
      </c>
      <c r="E342">
        <f>IF(Mis1!E$37=0,0,Mis1!E$9*Mis1!E$37*10)</f>
        <v>0</v>
      </c>
    </row>
    <row r="343" spans="4:5" ht="12.75">
      <c r="D343" t="s">
        <v>1395</v>
      </c>
      <c r="E343">
        <f>IF(Mis1!E$38=0,0,MAX(Mis1!E$9*Mis1!E$38*10,CHOOSE(Mis1TL+1,0,0,0,0,0,0,0,0,15000,1000,200,200,200,200,200,200,200,200,200,200,200,200)))</f>
        <v>420</v>
      </c>
    </row>
    <row r="344" spans="4:5" ht="12.75">
      <c r="D344" t="s">
        <v>1396</v>
      </c>
      <c r="E344">
        <f>IF(Mis1!E$40=0,0,MAX(Mis1!E$9*Mis1!E$40*10,4000))</f>
        <v>0</v>
      </c>
    </row>
    <row r="345" spans="4:5" ht="12.75">
      <c r="D345" t="s">
        <v>1397</v>
      </c>
      <c r="E345">
        <f>Mis1!E$9*Mis1!E$41*10</f>
        <v>0</v>
      </c>
    </row>
    <row r="346" spans="4:5" ht="12.75">
      <c r="D346" t="s">
        <v>1398</v>
      </c>
      <c r="E346">
        <f>E342+E343+E344</f>
        <v>420</v>
      </c>
    </row>
    <row r="347" spans="4:5" ht="12.75">
      <c r="D347" t="s">
        <v>1399</v>
      </c>
      <c r="E347">
        <f>IF(Mis1!D$67=0,0,ROUNDUP(Mis1!D$69/CHOOSE(Mis1TL+1,0,0,0,0,0,0,1,1,2,2,3,3,4,4,5,5,6,6,7,7,8,8),0))</f>
        <v>2</v>
      </c>
    </row>
    <row r="348" spans="4:5" ht="12.75">
      <c r="D348" t="s">
        <v>1400</v>
      </c>
      <c r="E348">
        <f>SUM(Mis1!I75:I79)</f>
        <v>227.69500000000002</v>
      </c>
    </row>
    <row r="349" spans="4:6" ht="12.75">
      <c r="D349" t="s">
        <v>1401</v>
      </c>
      <c r="E349">
        <f>ROUND((6*E348/PI())^(1/3)*PI(),2)</f>
        <v>23.8</v>
      </c>
      <c r="F349">
        <f>(Mis1!D71/$F$9)/100</f>
        <v>0</v>
      </c>
    </row>
    <row r="350" spans="4:6" ht="12.75">
      <c r="D350" s="473" t="s">
        <v>1402</v>
      </c>
      <c r="E350" s="473">
        <f>IF(Mis1!$D$8=1,0,Mis1!$E$17)</f>
        <v>0</v>
      </c>
      <c r="F350" s="473"/>
    </row>
    <row r="351" spans="4:6" ht="12.75">
      <c r="D351" s="473" t="s">
        <v>1403</v>
      </c>
      <c r="E351" s="473">
        <f>MAX(1,IF(E350&lt;2,IF(Mis1!$D$63=2,MIN(10*Mis1!$D$64,Mis1!$D$69),MIN(Mis1!$D$64,Mis1!$D$69)),IF(Mis1!$D$63=2,MIN(10*Mis1!$D$64,Mis1!$D$64+(Mis1!$D$64*Mis1!$D$65)+Mis1!$D$89),Mis1!$D$64)))</f>
        <v>5</v>
      </c>
      <c r="F351" s="473"/>
    </row>
    <row r="352" spans="4:6" ht="12.75">
      <c r="D352" s="473" t="s">
        <v>1404</v>
      </c>
      <c r="E352" s="473">
        <f>VLOOKUP(Mis1!$E$9/14,$A$95:$B$109,2)</f>
        <v>-3</v>
      </c>
      <c r="F352" s="473"/>
    </row>
    <row r="353" spans="4:6" ht="12.75">
      <c r="D353" s="473" t="s">
        <v>1405</v>
      </c>
      <c r="E353" s="473">
        <f>ROUND((E346/(Mis1!$J$55-(Mis1!$J$39*0.5))/10),0)</f>
        <v>6</v>
      </c>
      <c r="F353" s="473"/>
    </row>
    <row r="354" spans="4:6" ht="12.75">
      <c r="D354" s="473" t="s">
        <v>1406</v>
      </c>
      <c r="E354" s="473">
        <f>ROUND(E353*-0.25,0)</f>
        <v>-2</v>
      </c>
      <c r="F354" s="473"/>
    </row>
    <row r="355" spans="4:5" ht="12.75">
      <c r="D355" t="s">
        <v>1407</v>
      </c>
      <c r="E355">
        <f>E352+E354</f>
        <v>-5</v>
      </c>
    </row>
    <row r="356" spans="4:5" ht="12.75">
      <c r="D356" t="s">
        <v>1408</v>
      </c>
      <c r="E356">
        <f>IF(Mis1!$D$8=1,6,ROUND((E346/Mis1!$J$55)/10,1))</f>
        <v>6</v>
      </c>
    </row>
    <row r="357" spans="4:5" ht="12.75">
      <c r="D357" t="s">
        <v>1409</v>
      </c>
      <c r="E357">
        <f>IF(Mis1!$E$37=0,100000,ROUND((LN(Mis1!$J$55/(Mis1!$J$55-Mis1!$J$39))*(3600/(CHOOSE(Mis1TL+1,0,0,0,0,0,0,0,5.94,4.17,2.52,0.034,0.034,0.034,0.034,0.034,0.034,0.034,0.034,0.034,0.034,0.034,0.034)*IF(Mis1TL&lt;10,0.07,1.167))))/18000,0))</f>
        <v>100000</v>
      </c>
    </row>
    <row r="358" spans="4:5" ht="12.75">
      <c r="D358" t="s">
        <v>1410</v>
      </c>
      <c r="E358">
        <f>IF(Mis1!$E$38=0,100000,ROUND((LN(Mis1!$J$55/(Mis1!$J$55-Mis1!J$39))*(3600/(CHOOSE(Mis1TL+1,0,0,0,0,0,0,0,0,0.1,0.005,0.00125,0.00125,0.00125,0.00125,0.00125,0.00125,0.00125,0.00125,0.00125,0.00125,0.00125,0.00125)*0.07)))/18000,0))</f>
        <v>155</v>
      </c>
    </row>
    <row r="359" spans="4:5" ht="12.75">
      <c r="D359" t="s">
        <v>1411</v>
      </c>
      <c r="E359">
        <f>IF(Mis1!$D$8=1,12,ROUND(MIN(E357,E358,IF(Mis1!$E$43=0,1000000,Mis1!$E$44*2),IF(Mis1!$E$45=0,1000000,Mis1!$E$46*2),IF(Mis1!$E$47=0,100000,Mis1!$E$48*2),IF(Mis1!$E$49=0,100000,Mis1!$E$50*2),IF(Mis1!$E$51=0,100000,Mis1!$E$52*2),IF(Mis1!$E$54=0,100000,Mis1!$F$54)),0))</f>
        <v>12</v>
      </c>
    </row>
    <row r="360" spans="4:5" ht="12.75">
      <c r="D360" t="s">
        <v>1412</v>
      </c>
      <c r="E360" t="str">
        <f>VLOOKUP(E359,MissileRangeTable,2)</f>
        <v>Long</v>
      </c>
    </row>
    <row r="361" spans="4:5" ht="12.75">
      <c r="D361" t="s">
        <v>1413</v>
      </c>
      <c r="E361">
        <f>IF(E356&lt;E359*0.5,", Slow","")</f>
      </c>
    </row>
    <row r="363" spans="4:12" ht="12.75">
      <c r="D363" s="14" t="s">
        <v>1414</v>
      </c>
      <c r="E363" t="s">
        <v>1415</v>
      </c>
      <c r="F363" t="s">
        <v>1416</v>
      </c>
      <c r="G363" t="s">
        <v>1417</v>
      </c>
      <c r="H363" t="s">
        <v>1418</v>
      </c>
      <c r="I363" t="s">
        <v>1419</v>
      </c>
      <c r="J363" t="s">
        <v>1420</v>
      </c>
      <c r="K363" t="s">
        <v>1421</v>
      </c>
      <c r="L363" t="s">
        <v>913</v>
      </c>
    </row>
    <row r="364" spans="4:12" ht="12.75">
      <c r="D364" t="s">
        <v>1422</v>
      </c>
      <c r="E364">
        <f>CHOOSE((Mis1!D$7+1),0,0,0,0,0,0,30,20,10,10,10,10,10,10,10,10,10,10,10,10,10,10)</f>
        <v>10</v>
      </c>
      <c r="F364">
        <f>IF(Mis1!E$43=0,0,Mis1!E$43/CHOOSE((Mis1!D$7+1),0,0,0,0,0,0,0.3,0.6,1,1,1,1,1,1,1,1,1,1,1,1,1,1))</f>
        <v>0</v>
      </c>
      <c r="G364">
        <f>F364/1.1</f>
        <v>0</v>
      </c>
      <c r="H364">
        <f>F364/1.21</f>
        <v>0</v>
      </c>
      <c r="I364">
        <f>F364/1.33</f>
        <v>0</v>
      </c>
      <c r="J364">
        <f>F364/1.46</f>
        <v>0</v>
      </c>
      <c r="K364">
        <f>F364/1.61</f>
        <v>0</v>
      </c>
      <c r="L364">
        <f>IF(Mis1!I$43&gt;(E364*100000),1.61,IF(Mis1!I$43&gt;(E364*10000),1.46,IF(Mis1!I$43&gt;(E364*1000),1.33,IF(Mis1!I$43&gt;(E364*100),1.21,IF(Mis1!I$43&gt;(E364*10),1.1,1)))))*Mis1!I$43*CHOOSE((Mis1!D$7+1),0,0,0,0,0,0.3,0.6,1,1,1,1,1,1,1,1,1,1,1,1,1,1)</f>
        <v>0</v>
      </c>
    </row>
    <row r="365" spans="4:12" ht="12.75">
      <c r="D365" t="s">
        <v>1423</v>
      </c>
      <c r="E365">
        <f>CHOOSE((Mis1!D$7+1),0,0,0,0,0,0,0,0,0,1000,500,200,10,1,0.25,0.075,0.075,0.075,0.075,0.075,0.075,0.075,0.075)</f>
        <v>10</v>
      </c>
      <c r="F365">
        <f>IF(Mis1!E$45=0,0,Mis1!E$45/CHOOSE((Mis1!D$7+1),0,0,0,0,0,0,0,0,0,2,2,2,2,3,3,6,7,7,7,7,7,7))</f>
        <v>0</v>
      </c>
      <c r="G365">
        <f>F365/1.1</f>
        <v>0</v>
      </c>
      <c r="H365">
        <f>F365/1.21</f>
        <v>0</v>
      </c>
      <c r="I365">
        <f>F365/1.33</f>
        <v>0</v>
      </c>
      <c r="J365">
        <f>F365/1.46</f>
        <v>0</v>
      </c>
      <c r="K365">
        <f>F365/1.61</f>
        <v>0</v>
      </c>
      <c r="L365">
        <f>IF(Mis1!I$45&gt;(E365*100000),1.61,IF(Mis1!I$45&gt;(E365*10000),1.46,IF(Mis1!I$45&gt;(E365*1000),1.33,IF(Mis1!I$45&gt;(E365*100),1.21,IF(Mis1!I$45&gt;(E365*10),1.1,1)))))*Mis1!I$45*CHOOSE((Mis1!D$7+1),0,0,0,0,0,0,0,0,0,2,2,2,2,3,3,6,7,7,7,7,7,7)</f>
        <v>0</v>
      </c>
    </row>
    <row r="366" spans="4:12" ht="12.75">
      <c r="D366" t="s">
        <v>1424</v>
      </c>
      <c r="L366">
        <f>Mis1!I$47*CHOOSE((Mis1!D$7+1),0,0,0,0,0,0,0,0,0,0,3,3.8,4.8,6,7.7,9.8,9.8,9.8,9.8,9.8,9.8,9.8)</f>
        <v>0</v>
      </c>
    </row>
    <row r="367" spans="4:12" ht="12.75">
      <c r="D367" t="s">
        <v>1425</v>
      </c>
      <c r="E367">
        <v>0.01</v>
      </c>
      <c r="F367">
        <f>IF(Mis1!E$49=0,0,Mis1!E$49/CHOOSE((Mis1!D$7+1),0,0,0,0,0,0,0,0.5,0.5,0.5,0.5,0.5,0.75,0.75,1.5,1.5,1.75,1.75,1.75,1.75,1.75,1.75))</f>
        <v>0</v>
      </c>
      <c r="G367">
        <f>F367/1.1</f>
        <v>0</v>
      </c>
      <c r="H367">
        <f>F367/1.21</f>
        <v>0</v>
      </c>
      <c r="I367">
        <f>F367/1.33</f>
        <v>0</v>
      </c>
      <c r="J367">
        <f>F367/1.46</f>
        <v>0</v>
      </c>
      <c r="K367">
        <f>F367/1.61</f>
        <v>0</v>
      </c>
      <c r="L367">
        <f>IF(Mis1!I$49&gt;(E367*100000),1.61,IF(Mis1!I$49&gt;(E367*10000),1.46,IF(Mis1!I$49&gt;(E367*1000),1.33,IF(Mis1!I$49&gt;(E367*100),1.21,IF(Mis1!I$49&gt;(E367*10),1.1,1)))))*Mis1!I$49*CHOOSE((Mis1!D$7+1),0,0,0,0,0,0,0,0.5,0.5,0.5,0.5,0.5,0.75,0.75,1.5,1.5,1.75,1.75,1.75,1.75,1.75,1.75)</f>
        <v>0</v>
      </c>
    </row>
    <row r="368" spans="4:12" ht="12.75">
      <c r="D368" t="s">
        <v>1426</v>
      </c>
      <c r="E368">
        <f>CHOOSE((Mis1!D$7+1),0,0,0,0,0,0,0,0,0,0,0,0,0,0,0,0,0,8,1,0.25,0.1,0.02)</f>
        <v>0</v>
      </c>
      <c r="F368">
        <f>IF(Mis1!E$51=0,0,Mis1!E$51/CHOOSE((Mis1!D$7+1),0,0,0,0,0,0,0,0,0,0,0,0,0,0,0,0,0,50,100,250,500,1000))</f>
        <v>0</v>
      </c>
      <c r="G368">
        <f>F368/1.1</f>
        <v>0</v>
      </c>
      <c r="H368">
        <f>F368/1.21</f>
        <v>0</v>
      </c>
      <c r="I368">
        <f>F368/1.33</f>
        <v>0</v>
      </c>
      <c r="J368">
        <f>F368/1.46</f>
        <v>0</v>
      </c>
      <c r="K368">
        <f>F368/1.61</f>
        <v>0</v>
      </c>
      <c r="L368">
        <f>IF(Mis1!I$51&gt;(E368*100000),1.61,IF(Mis1!I$51&gt;(E368*10000),1.46,IF(Mis1!I$51&gt;(E368*1000),1.33,IF(Mis1!I$51&gt;(E368*100),1.21,IF(Mis1!I$51&gt;(E368*10),1.1,1)))))*Mis1!I$51*CHOOSE((Mis1!D$7+1),0,0,0,0,0,0,0,0,0,0,0,0,0,0,0,0,0,50,100,250,500,1000)</f>
        <v>0</v>
      </c>
    </row>
    <row r="370" spans="4:5" ht="12.75">
      <c r="D370" t="s">
        <v>1427</v>
      </c>
      <c r="E370">
        <f>IF(Mis2!E$37=0,0,Mis2!E$9*Mis2!E$37*10)</f>
        <v>245</v>
      </c>
    </row>
    <row r="371" spans="4:5" ht="12.75">
      <c r="D371" t="s">
        <v>1428</v>
      </c>
      <c r="E371">
        <f>IF(Mis2!E$38=0,0,MAX(Mis2!E$9*Mis2!E$38*10,CHOOSE(Mis2TL+1,0,0,0,0,0,0,0,0,15000,1000,200,200,200,200,200,200,200,200,200,200,200,200)))</f>
        <v>0</v>
      </c>
    </row>
    <row r="372" spans="4:5" ht="12.75">
      <c r="D372" t="s">
        <v>1429</v>
      </c>
      <c r="E372">
        <f>IF(Mis2!E$40=0,0,MAX(Mis2!E$9*Mis2!E$40*10,4000))</f>
        <v>0</v>
      </c>
    </row>
    <row r="373" spans="4:5" ht="12.75">
      <c r="D373" t="s">
        <v>1430</v>
      </c>
      <c r="E373">
        <f>Mis2!E$9*Mis2!E$41*10</f>
        <v>0</v>
      </c>
    </row>
    <row r="374" spans="4:5" ht="12.75">
      <c r="D374" t="s">
        <v>1431</v>
      </c>
      <c r="E374">
        <f>E370+E371+E372</f>
        <v>245</v>
      </c>
    </row>
    <row r="375" spans="4:5" ht="12.75">
      <c r="D375" t="s">
        <v>1432</v>
      </c>
      <c r="E375">
        <f>IF(Mis2!D$67=0,0,ROUNDUP(Mis2!D$69/CHOOSE(Mis2TL+1,0,0,0,0,0,0,1,1,2,2,3,3,4,4,5,5,6,6,7,7,8,8),0))</f>
        <v>1</v>
      </c>
    </row>
    <row r="376" spans="4:5" ht="12.75">
      <c r="D376" t="s">
        <v>1433</v>
      </c>
      <c r="E376">
        <f>SUM(Mis2!I75:I79)</f>
        <v>348.36500000000007</v>
      </c>
    </row>
    <row r="377" spans="4:6" ht="12.75">
      <c r="D377" t="s">
        <v>1434</v>
      </c>
      <c r="E377">
        <f>ROUND((6*E376/PI())^(1/3)*PI(),2)</f>
        <v>27.43</v>
      </c>
      <c r="F377">
        <f>(Mis2!D71/$F$9)/100</f>
        <v>0</v>
      </c>
    </row>
    <row r="378" spans="4:6" ht="12.75">
      <c r="D378" s="473" t="s">
        <v>1435</v>
      </c>
      <c r="E378" s="473">
        <f>IF(Mis2!$D$8=1,0,Mis2!$E$17)</f>
        <v>0</v>
      </c>
      <c r="F378" s="473"/>
    </row>
    <row r="379" spans="4:6" ht="12.75">
      <c r="D379" s="473" t="s">
        <v>1436</v>
      </c>
      <c r="E379" s="473">
        <f>MAX(1,IF(E378&lt;2,IF(Mis2!$D$63=2,MIN(10*Mis2!$D$64,Mis2!$D$69),MIN(Mis2!$D$64,Mis2!$D$69)),IF(Mis2!$D$63=2,MIN(10*Mis2!$D$64,Mis1!$D$64+(Mis2!$D$64*Mis2!$D$65)+Mis2!$D$90),Mis2!$D$64)))</f>
        <v>3</v>
      </c>
      <c r="F379" s="473"/>
    </row>
    <row r="380" spans="4:6" ht="12.75">
      <c r="D380" s="473" t="s">
        <v>1437</v>
      </c>
      <c r="E380" s="473">
        <f>VLOOKUP(Mis2!$E$9/14,$A$95:$B$109,2)</f>
        <v>-3</v>
      </c>
      <c r="F380" s="473"/>
    </row>
    <row r="381" spans="4:6" ht="12.75">
      <c r="D381" s="473" t="s">
        <v>1438</v>
      </c>
      <c r="E381" s="473">
        <f>ROUND((E374/(Mis2!$J$55-(Mis2!$J$39*0.5))/10),0)</f>
        <v>8</v>
      </c>
      <c r="F381" s="473"/>
    </row>
    <row r="382" spans="4:6" ht="12.75">
      <c r="D382" s="473" t="s">
        <v>1439</v>
      </c>
      <c r="E382" s="473">
        <f>ROUND(E381*-0.25,0)</f>
        <v>-2</v>
      </c>
      <c r="F382" s="473"/>
    </row>
    <row r="383" spans="4:6" ht="12.75">
      <c r="D383" t="s">
        <v>1440</v>
      </c>
      <c r="E383">
        <f>E380+E382</f>
        <v>-5</v>
      </c>
      <c r="F383" s="473"/>
    </row>
    <row r="384" spans="4:6" ht="12.75">
      <c r="D384" t="s">
        <v>1441</v>
      </c>
      <c r="E384">
        <f>IF(Mis2!$D$8=1,6,ROUND((E374/Mis2!$J$55)/10,1))</f>
        <v>6</v>
      </c>
      <c r="F384" s="473"/>
    </row>
    <row r="385" spans="4:6" ht="12.75">
      <c r="D385" t="s">
        <v>1409</v>
      </c>
      <c r="E385" t="e">
        <f>IF(Mis2!$E$37=0,100000,ROUND((LN(Mis2!$J$55/(Mis2!$J$55-Mis2!$J$39))*(3600/(CHOOSE(Mis1TL+1,0,0,0,0,0,0,0,5.94,4.17,2.52,0.034,0.034,0.034,0.034,0.034,0.034,0.034,0.034,0.034,0.034,0.034,0.034)*IF(Mis1TL&lt;10,0.07,1.167))))/18000,0))</f>
        <v>#NUM!</v>
      </c>
      <c r="F385" s="473"/>
    </row>
    <row r="386" spans="4:6" ht="12.75">
      <c r="D386" t="s">
        <v>1410</v>
      </c>
      <c r="E386">
        <f>IF(Mis2!$E$38=0,100000,ROUND((LN(Mis2!$J$55/(Mis2!$J$55-Mis2!J$39))*(3600/(CHOOSE(Mis2TL+1,0,0,0,0,0,0,0,0,0.1,0.005,0.00125,0.00125,0.00125,0.00125,0.00125,0.00125,0.00125,0.00125,0.00125,0.00125,0.00125,0.00125)*0.07)))/18000,0))</f>
        <v>100000</v>
      </c>
      <c r="F386" s="473"/>
    </row>
    <row r="387" spans="4:6" ht="12.75">
      <c r="D387" t="s">
        <v>1411</v>
      </c>
      <c r="E387">
        <f>IF(Mis2!$D$8=1,12,ROUND(MIN(E385,E386,IF(Mis2!$E$43=0,1000000,Mis2!$E$44*2),IF(Mis2!$E$45=0,1000000,Mis2!$E$46*2),IF(Mis2!$E$47=0,100000,Mis2!$E$48*2),IF(Mis2!$E$49=0,100000,Mis2!$E$50*2),IF(Mis2!$E$51=0,100000,Mis2!$E$52*2),IF(Mis2!$E$54=0,100000,Mis2!$F$54)),0))</f>
        <v>12</v>
      </c>
      <c r="F387" s="473"/>
    </row>
    <row r="388" spans="4:6" ht="12.75">
      <c r="D388" t="s">
        <v>1442</v>
      </c>
      <c r="E388" t="str">
        <f>VLOOKUP(E387,MissileRangeTable,2)</f>
        <v>Long</v>
      </c>
      <c r="F388" s="473"/>
    </row>
    <row r="389" spans="4:6" ht="12.75">
      <c r="D389" t="s">
        <v>1443</v>
      </c>
      <c r="E389">
        <f>IF(E384&lt;E387*0.5,", Slow","")</f>
      </c>
      <c r="F389" s="473"/>
    </row>
    <row r="390" spans="4:6" ht="12.75">
      <c r="D390" s="473"/>
      <c r="E390" s="473"/>
      <c r="F390" s="473"/>
    </row>
    <row r="391" spans="4:12" ht="12.75">
      <c r="D391" s="14" t="s">
        <v>1444</v>
      </c>
      <c r="E391" t="s">
        <v>1415</v>
      </c>
      <c r="F391" t="s">
        <v>1416</v>
      </c>
      <c r="G391" t="s">
        <v>1417</v>
      </c>
      <c r="H391" t="s">
        <v>1418</v>
      </c>
      <c r="I391" t="s">
        <v>1419</v>
      </c>
      <c r="J391" t="s">
        <v>1420</v>
      </c>
      <c r="K391" t="s">
        <v>1421</v>
      </c>
      <c r="L391" t="s">
        <v>913</v>
      </c>
    </row>
    <row r="392" spans="4:12" ht="12.75">
      <c r="D392" t="s">
        <v>1422</v>
      </c>
      <c r="E392">
        <f>CHOOSE((Mis2!D$7+1),0,0,0,0,0,0,30,20,10,10,10,10,10,10,10,10,10,10,10,10,10,10)</f>
        <v>10</v>
      </c>
      <c r="F392">
        <f>IF(Mis2!E$43=0,0,Mis2!E$43/CHOOSE((Mis2!D$7+1),0,0,0,0,0,0,0.3,0.6,1,1,1,1,1,1,1,1,1,1,1,1,1,1))</f>
        <v>0</v>
      </c>
      <c r="G392">
        <f>F392/1.1</f>
        <v>0</v>
      </c>
      <c r="H392">
        <f>F392/1.21</f>
        <v>0</v>
      </c>
      <c r="I392">
        <f>F392/1.33</f>
        <v>0</v>
      </c>
      <c r="J392">
        <f>F392/1.46</f>
        <v>0</v>
      </c>
      <c r="K392">
        <f>F392/1.61</f>
        <v>0</v>
      </c>
      <c r="L392">
        <f>IF(Mis2!I$43&gt;(E392*100000),1.61,IF(Mis2!I$43&gt;(E392*10000),1.46,IF(Mis2!I$43&gt;(E392*1000),1.33,IF(Mis2!I$43&gt;(E392*100),1.21,IF(Mis2!I$43&gt;(E392*10),1.1,1)))))*Mis2!I$43*CHOOSE((Mis2!D$7+1),0,0,0,0,0,0.3,0.6,1,1,1,1,1,1,1,1,1,1,1,1,1,1)</f>
        <v>0</v>
      </c>
    </row>
    <row r="393" spans="4:12" ht="12.75">
      <c r="D393" t="s">
        <v>1423</v>
      </c>
      <c r="E393">
        <f>CHOOSE((Mis2!D$7+1),0,0,0,0,0,0,0,0,0,1000,500,200,10,1,0.25,0.075,0.075,0.075,0.075,0.075,0.075,0.075,0.075)</f>
        <v>10</v>
      </c>
      <c r="F393">
        <f>IF(Mis2!E$45=0,0,Mis2!E$45/CHOOSE((Mis2!D$7+1),0,0,0,0,0,0,0,0,0,2,2,2,2,3,3,6,7,7,7,7,7,7))</f>
        <v>0</v>
      </c>
      <c r="G393">
        <f>F393/1.1</f>
        <v>0</v>
      </c>
      <c r="H393">
        <f>F393/1.21</f>
        <v>0</v>
      </c>
      <c r="I393">
        <f>F393/1.33</f>
        <v>0</v>
      </c>
      <c r="J393">
        <f>F393/1.46</f>
        <v>0</v>
      </c>
      <c r="K393">
        <f>F393/1.61</f>
        <v>0</v>
      </c>
      <c r="L393">
        <f>IF(Mis2!I$45&gt;(E393*100000),1.61,IF(Mis2!I$45&gt;(E393*10000),1.46,IF(Mis2!I$45&gt;(E393*1000),1.33,IF(Mis2!I$45&gt;(E393*100),1.21,IF(Mis2!I$45&gt;(E393*10),1.1,1)))))*Mis2!I$45*CHOOSE((Mis2!D$7+1),0,0,0,0,0,0,0,0,0,2,2,2,2,3,3,6,7,7,7,7,7,7)</f>
        <v>0</v>
      </c>
    </row>
    <row r="394" spans="4:12" ht="12.75">
      <c r="D394" t="s">
        <v>1424</v>
      </c>
      <c r="L394">
        <f>Mis2!I$47*CHOOSE((Mis2!D$7+1),0,0,0,0,0,0,0,0,0,0,3,3.8,4.8,6,7.7,9.8,9.8,9.8,9.8,9.8,9.8,9.8)</f>
        <v>0</v>
      </c>
    </row>
    <row r="395" spans="4:12" ht="12.75">
      <c r="D395" t="s">
        <v>1425</v>
      </c>
      <c r="E395">
        <v>0.01</v>
      </c>
      <c r="F395">
        <f>IF(Mis2!E$49=0,0,Mis2!E$49/CHOOSE((Mis2!D$7+1),0,0,0,0,0,0,0,0.5,0.5,0.5,0.5,0.5,0.75,0.75,1.5,1.5,1.75,1.75,1.75,1.75,1.75,1.75))</f>
        <v>0</v>
      </c>
      <c r="G395">
        <f>F395/1.1</f>
        <v>0</v>
      </c>
      <c r="H395">
        <f>F395/1.21</f>
        <v>0</v>
      </c>
      <c r="I395">
        <f>F395/1.33</f>
        <v>0</v>
      </c>
      <c r="J395">
        <f>F395/1.46</f>
        <v>0</v>
      </c>
      <c r="K395">
        <f>F395/1.61</f>
        <v>0</v>
      </c>
      <c r="L395">
        <f>IF(Mis2!I$49&gt;(E395*100000),1.61,IF(Mis2!I$49&gt;(E395*10000),1.46,IF(Mis2!I$49&gt;(E395*1000),1.33,IF(Mis2!I$49&gt;(E395*100),1.21,IF(Mis2!I$49&gt;(E395*10),1.1,1)))))*Mis2!I$49*CHOOSE((Mis2!D$7+1),0,0,0,0,0,0,0,0.5,0.5,0.5,0.5,0.5,0.75,0.75,1.5,1.5,1.75,1.75,1.75,1.75,1.75,1.75)</f>
        <v>0</v>
      </c>
    </row>
    <row r="396" spans="4:12" ht="12.75">
      <c r="D396" t="s">
        <v>1426</v>
      </c>
      <c r="E396">
        <f>CHOOSE((Mis2!D$7+1),0,0,0,0,0,0,0,0,0,0,0,0,0,0,0,0,0,8,1,0.25,0.1,0.02)</f>
        <v>0</v>
      </c>
      <c r="F396">
        <f>IF(Mis2!E$51=0,0,Mis2!E$51/CHOOSE((Mis2!D$7+1),0,0,0,0,0,0,0,0,0,0,0,0,0,0,0,0,0,50,100,250,500,1000))</f>
        <v>0</v>
      </c>
      <c r="G396">
        <f>F396/1.1</f>
        <v>0</v>
      </c>
      <c r="H396">
        <f>F396/1.21</f>
        <v>0</v>
      </c>
      <c r="I396">
        <f>F396/1.33</f>
        <v>0</v>
      </c>
      <c r="J396">
        <f>F396/1.46</f>
        <v>0</v>
      </c>
      <c r="K396">
        <f>F396/1.61</f>
        <v>0</v>
      </c>
      <c r="L396">
        <f>IF(Mis2!I$51&gt;(E396*100000),1.61,IF(Mis2!I$51&gt;(E396*10000),1.46,IF(Mis2!I$51&gt;(E396*1000),1.33,IF(Mis2!I$51&gt;(E396*100),1.21,IF(Mis2!I$51&gt;(E396*10),1.1,1)))))*Mis2!I$51*CHOOSE((Mis2!D$7+1),0,0,0,0,0,0,0,0,0,0,0,0,0,0,0,0,0,50,100,250,500,1000)</f>
        <v>0</v>
      </c>
    </row>
    <row r="398" ht="12.75">
      <c r="D398" s="14" t="s">
        <v>1445</v>
      </c>
    </row>
    <row r="399" spans="4:5" ht="12.75">
      <c r="D399" t="s">
        <v>1446</v>
      </c>
      <c r="E399">
        <f>(PI()*(PA1!D$12)^2)/4</f>
        <v>19.634954084936208</v>
      </c>
    </row>
    <row r="400" spans="4:5" ht="12.75">
      <c r="D400" t="s">
        <v>1447</v>
      </c>
      <c r="E400">
        <f>PA1!D$10*CHOOSE((PA1!D$7+1),0,0,0,0,0,0,0,0,0.12,0.14,0.16,0.2,0.25,0.3,0.5,1,1.25,1.3,1.4,1.5,1.6,1.7)</f>
        <v>10</v>
      </c>
    </row>
    <row r="401" spans="4:5" ht="12.75">
      <c r="D401" t="s">
        <v>1448</v>
      </c>
      <c r="E401">
        <f>E399*CHOOSE((PA1!D$7+1),0,0,0,0,0,0,0,0,0,1,1,2,3,3,4,4,5,5,5,6,6,6)</f>
        <v>58.90486225480862</v>
      </c>
    </row>
    <row r="402" spans="4:5" ht="12.75">
      <c r="D402" t="s">
        <v>1449</v>
      </c>
      <c r="E402">
        <f>(8*(PA1!D$12/PA1!D$10))^2</f>
        <v>1</v>
      </c>
    </row>
    <row r="403" spans="4:5" ht="12.75">
      <c r="D403" t="s">
        <v>1450</v>
      </c>
      <c r="E403">
        <f>E400*E401*1000</f>
        <v>589048.6225480862</v>
      </c>
    </row>
    <row r="404" spans="4:5" ht="12.75">
      <c r="D404" t="s">
        <v>1373</v>
      </c>
      <c r="E404">
        <f>IF(PA1!D$21/30&gt;=24,2.2,IF(PA1!D$21/30&gt;=12,1.7,IF(PA1!D$21/30&gt;6,1.3,1)))</f>
        <v>1</v>
      </c>
    </row>
    <row r="405" spans="4:5" ht="12.75">
      <c r="D405" t="s">
        <v>1371</v>
      </c>
      <c r="E405">
        <f>CHOOSE((PA1!D$9+1),5*PA1!D$13,10*PA1!D$13)</f>
        <v>8000</v>
      </c>
    </row>
    <row r="406" spans="4:5" ht="12.75">
      <c r="D406" t="s">
        <v>1451</v>
      </c>
      <c r="E406">
        <f>SUM(PA1!D$34:D$38)</f>
        <v>1235.3981633974481</v>
      </c>
    </row>
    <row r="407" spans="4:6" ht="12.75">
      <c r="D407" t="s">
        <v>1452</v>
      </c>
      <c r="E407">
        <f>ROUND((6*E406/PI())^(1/3)*PI(),2)</f>
        <v>41.82</v>
      </c>
      <c r="F407">
        <f>(PA1!D$22/$F$9)/100</f>
        <v>0</v>
      </c>
    </row>
    <row r="408" spans="4:7" ht="12.75">
      <c r="D408" t="s">
        <v>1377</v>
      </c>
      <c r="E408">
        <f>ROUND(7.1*SQRT(PA1!D$27),0)*E$402</f>
        <v>284</v>
      </c>
      <c r="F408">
        <f>MAX(0,VLOOKUP($E408*PA1!$D$20,$A$2:$B$61,2)+MIN(VLOOKUP($E408*PA1!$D$20,$A$2:$B$61,2),IF(PA1!$D$21&gt;=800,4,IF(PA1!$D$21&gt;=400,3,IF(PA1!$D$21&gt;=200,2,IF(PA1!$D$21&gt;=100,1,IF(PA1!$D$21&lt;50,-1,0)))))))</f>
        <v>8</v>
      </c>
      <c r="G408">
        <f>MAX(0,VLOOKUP($E408*PA1!$D$20*PA1!$D$44,$A$2:$B$61,2)+MIN(VLOOKUP($E408*PA1!$D$20*PA1!$D$44,$A$2:$B$61,2),IF(PA1!$D$21&gt;=800,4,IF(PA1!$D$21&gt;=400,3,IF(PA1!$D$21&gt;=200,2,IF(PA1!$D$21&gt;=100,1,IF(PA1!$D$21&lt;50,-1,0)))))))</f>
        <v>8</v>
      </c>
    </row>
    <row r="409" spans="4:7" ht="12.75">
      <c r="D409" t="s">
        <v>1378</v>
      </c>
      <c r="E409">
        <f>ROUND(7.1*SQRT(PA1!D$28),0)*E$402</f>
        <v>279</v>
      </c>
      <c r="F409">
        <f>MAX(0,VLOOKUP($E409*PA1!$D$20,$A$2:$B$61,2)+MIN(VLOOKUP($E409*PA1!$D$20,$A$2:$B$61,2),IF(PA1!$D$21&gt;=800,4,IF(PA1!$D$21&gt;=400,3,IF(PA1!$D$21&gt;=200,2,IF(PA1!$D$21&gt;=100,1,IF(PA1!$D$21&lt;50,-1,0)))))))</f>
        <v>8</v>
      </c>
      <c r="G409">
        <f>MAX(0,VLOOKUP($E409*PA1!$D$20*PA1!$D$44,$A$2:$B$61,2)+MIN(VLOOKUP($E409*PA1!$D$20*PA1!$D$44,$A$2:$B$61,2),IF(PA1!$D$21&gt;=800,4,IF(PA1!$D$21&gt;=400,3,IF(PA1!$D$21&gt;=200,2,IF(PA1!$D$21&gt;=100,1,IF(PA1!$D$21&lt;50,-1,0)))))))</f>
        <v>8</v>
      </c>
    </row>
    <row r="410" spans="4:7" ht="12.75">
      <c r="D410" t="s">
        <v>1379</v>
      </c>
      <c r="E410">
        <f>ROUND(7.1*SQRT(PA1!D$29),0)*E$402</f>
        <v>139</v>
      </c>
      <c r="F410">
        <f>MAX(0,VLOOKUP($E410*PA1!$D$20,$A$2:$B$61,2)+MIN(VLOOKUP($E410*PA1!$D$20,$A$2:$B$61,2),IF(PA1!$D$21&gt;=800,4,IF(PA1!$D$21&gt;=400,3,IF(PA1!$D$21&gt;=200,2,IF(PA1!$D$21&gt;=100,1,IF(PA1!$D$21&lt;50,-1,0)))))))</f>
        <v>5</v>
      </c>
      <c r="G410">
        <f>MAX(0,VLOOKUP($E410*PA1!$D$20*PA1!$D$44,$A$2:$B$61,2)+MIN(VLOOKUP($E410*PA1!$D$20*PA1!$D$44,$A$2:$B$61,2),IF(PA1!$D$21&gt;=800,4,IF(PA1!$D$21&gt;=400,3,IF(PA1!$D$21&gt;=200,2,IF(PA1!$D$21&gt;=100,1,IF(PA1!$D$21&lt;50,-1,0)))))))</f>
        <v>5</v>
      </c>
    </row>
    <row r="411" spans="4:7" ht="12.75">
      <c r="D411" t="s">
        <v>1380</v>
      </c>
      <c r="E411">
        <f>ROUND(7.1*SQRT(PA1!D$30),0)*E$402</f>
        <v>70</v>
      </c>
      <c r="F411">
        <f>MAX(0,VLOOKUP($E411*PA1!$D$20,$A$2:$B$61,2)+MIN(VLOOKUP($E411*PA1!$D$20,$A$2:$B$61,2),IF(PA1!$D$21&gt;=800,4,IF(PA1!$D$21&gt;=400,3,IF(PA1!$D$21&gt;=200,2,IF(PA1!$D$21&gt;=100,1,IF(PA1!$D$21&lt;50,-1,0)))))))</f>
        <v>3</v>
      </c>
      <c r="G411">
        <f>MAX(0,VLOOKUP($E411*PA1!$D$20*PA1!$D$44,$A$2:$B$61,2)+MIN(VLOOKUP($E411*PA1!$D$20*PA1!$D$44,$A$2:$B$61,2),IF(PA1!$D$21&gt;=800,4,IF(PA1!$D$21&gt;=400,3,IF(PA1!$D$21&gt;=200,2,IF(PA1!$D$21&gt;=100,1,IF(PA1!$D$21&lt;50,-1,0)))))))</f>
        <v>3</v>
      </c>
    </row>
    <row r="412" spans="4:8" ht="12.75">
      <c r="D412" t="s">
        <v>1381</v>
      </c>
      <c r="E412" s="473">
        <f>ROUND(7.1*SQRT(PA1!$E$26),0)</f>
        <v>284</v>
      </c>
      <c r="F412" s="473">
        <f>VLOOKUP($E412*PA1!$D$20,$A$112:$B$137,2)+MIN($E$417,0)</f>
        <v>13</v>
      </c>
      <c r="G412" s="473">
        <f>VLOOKUP($E412*PA1!$D$20*PA1!$D$44,$A$112:$B$137,2)+MIN($E$417,0)</f>
        <v>13</v>
      </c>
      <c r="H412" s="473">
        <f>IF(F412=0,0,VLOOKUP(E412,$A$112:$B$137,2))</f>
        <v>13</v>
      </c>
    </row>
    <row r="413" spans="4:8" ht="12.75">
      <c r="D413" t="s">
        <v>1382</v>
      </c>
      <c r="E413" s="473">
        <f>ROUND(7.1*SQRT(PA1!$E$27),0)</f>
        <v>284</v>
      </c>
      <c r="F413" s="473">
        <f>VLOOKUP($E413*PA1!$D$20,$A$112:$B$137,2)+MIN($E$417,0)</f>
        <v>13</v>
      </c>
      <c r="G413" s="473">
        <f>VLOOKUP($E413*PA1!$D$20*PA1!$D$44,$A$112:$B$137,2)+MIN($E$417,0)</f>
        <v>13</v>
      </c>
      <c r="H413" s="473">
        <f>IF(F413=0,0,VLOOKUP(E413,$A$112:$B$137,2))</f>
        <v>13</v>
      </c>
    </row>
    <row r="414" spans="4:8" ht="12.75">
      <c r="D414" t="s">
        <v>1383</v>
      </c>
      <c r="E414" s="473">
        <f>ROUND(7.1*SQRT(PA1!$E$28),0)</f>
        <v>279</v>
      </c>
      <c r="F414" s="473">
        <f>VLOOKUP($E414*PA1!$D$20,$A$112:$B$137,2)+MIN($E$417,0)</f>
        <v>13</v>
      </c>
      <c r="G414" s="473">
        <f>VLOOKUP($E414*PA1!$D$20*PA1!$D$44,$A$112:$B$137,2)+MIN($E$417,0)</f>
        <v>13</v>
      </c>
      <c r="H414" s="473">
        <f>IF(F414=0,0,VLOOKUP(E414,$A$112:$B$137,2))</f>
        <v>13</v>
      </c>
    </row>
    <row r="415" spans="4:8" ht="12.75">
      <c r="D415" t="s">
        <v>1384</v>
      </c>
      <c r="E415" s="473">
        <f>ROUND(7.1*SQRT(PA1!$E$29),0)</f>
        <v>139</v>
      </c>
      <c r="F415" s="473">
        <f>VLOOKUP($E415*PA1!$D$20,$A$112:$B$137,2)+MIN($E$417,0)</f>
        <v>11</v>
      </c>
      <c r="G415" s="473">
        <f>VLOOKUP($E415*PA1!$D$20*PA1!$D$44,$A$112:$B$137,2)+MIN($E$417,0)</f>
        <v>11</v>
      </c>
      <c r="H415" s="473">
        <f>IF(F415=0,0,VLOOKUP(E415,$A$112:$B$137,2))</f>
        <v>11</v>
      </c>
    </row>
    <row r="416" spans="4:8" ht="12.75">
      <c r="D416" t="s">
        <v>1385</v>
      </c>
      <c r="E416" s="473">
        <f>ROUND(7.1*SQRT(PA1!$E$30),0)</f>
        <v>70</v>
      </c>
      <c r="F416" s="473">
        <f>VLOOKUP($E416*PA1!$D$20,$A$112:$B$137,2)+MIN($E$417,0)</f>
        <v>10</v>
      </c>
      <c r="G416" s="473">
        <f>VLOOKUP($E416*PA1!$D$20*PA1!$D$44,$A$112:$B$137,2)+MIN($E$417,0)</f>
        <v>10</v>
      </c>
      <c r="H416" s="473">
        <f>IF(F416=0,0,VLOOKUP(E416,$A$112:$B$137,2))</f>
        <v>10</v>
      </c>
    </row>
    <row r="417" spans="4:7" ht="12.75">
      <c r="D417" s="473" t="s">
        <v>1386</v>
      </c>
      <c r="E417" s="473">
        <f>VLOOKUP(PA1!$D$21,$A$151:$B$161,2)</f>
        <v>1</v>
      </c>
      <c r="F417" s="473"/>
      <c r="G417" s="473"/>
    </row>
    <row r="419" ht="12.75">
      <c r="D419" s="14" t="s">
        <v>1453</v>
      </c>
    </row>
    <row r="420" spans="4:5" ht="12.75">
      <c r="D420" t="s">
        <v>1446</v>
      </c>
      <c r="E420">
        <f>(PI()*(PA2!D$12)^2)/4</f>
        <v>122.7184630308513</v>
      </c>
    </row>
    <row r="421" spans="4:5" ht="12.75">
      <c r="D421" t="s">
        <v>1447</v>
      </c>
      <c r="E421">
        <f>PA2!D$10*CHOOSE((PA2!D$7+1),0,0,0,0,0,0,0,0,0.12,0.14,0.16,0.2,0.25,0.3,0.5,1,1.25,1.3,1.4,1.5,1.6,1.7)</f>
        <v>25</v>
      </c>
    </row>
    <row r="422" spans="4:5" ht="12.75">
      <c r="D422" t="s">
        <v>1448</v>
      </c>
      <c r="E422">
        <f>E420*CHOOSE((PA2!D$7+1),0,0,0,0,0,0,0,0,0,1,1,2,3,3,4,4,5,5,5,6,6,6)</f>
        <v>368.1553890925539</v>
      </c>
    </row>
    <row r="423" spans="4:5" ht="12.75">
      <c r="D423" t="s">
        <v>1449</v>
      </c>
      <c r="E423">
        <f>(8*(PA2!D$12/PA2!D$10))^2</f>
        <v>1</v>
      </c>
    </row>
    <row r="424" spans="4:5" ht="12.75">
      <c r="D424" t="s">
        <v>1450</v>
      </c>
      <c r="E424">
        <f>E421*E422*1000</f>
        <v>9203884.727313846</v>
      </c>
    </row>
    <row r="425" spans="4:5" ht="12.75">
      <c r="D425" t="s">
        <v>1373</v>
      </c>
      <c r="E425">
        <f>IF(PA2!D$21/30&gt;=24,2.2,IF(PA2!D$21/30&gt;=12,1.7,IF(PA2!D$21/30&gt;6,1.3,1)))</f>
        <v>1</v>
      </c>
    </row>
    <row r="426" spans="4:5" ht="12.75">
      <c r="D426" t="s">
        <v>1371</v>
      </c>
      <c r="E426">
        <f>CHOOSE((PA2!D$9+1),5*PA2!D$13,10*PA2!D$13)</f>
        <v>50000</v>
      </c>
    </row>
    <row r="427" spans="4:5" ht="12.75">
      <c r="D427" t="s">
        <v>1454</v>
      </c>
      <c r="E427">
        <f>SUM(PA1!D34:D38)</f>
        <v>1235.3981633974481</v>
      </c>
    </row>
    <row r="428" spans="4:6" ht="12.75">
      <c r="D428" t="s">
        <v>1455</v>
      </c>
      <c r="E428">
        <f>ROUND((6*E427/PI())^(1/3)*PI(),2)</f>
        <v>41.82</v>
      </c>
      <c r="F428">
        <f>(PA2!D$22/$F$9)/100</f>
        <v>0</v>
      </c>
    </row>
    <row r="429" spans="4:7" ht="12.75">
      <c r="D429" t="s">
        <v>1377</v>
      </c>
      <c r="E429">
        <f>ROUND(7.1*SQRT(PA2!D$27),0)*E$423</f>
        <v>710</v>
      </c>
      <c r="F429">
        <f>MAX(0,VLOOKUP($E429*PA2!$D$20,$A$2:$B$61,2)+MIN(VLOOKUP($E429*PA2!$D$20,$A$2:$B$61,2),IF(PA2!$D$21&gt;=800,4,IF(PA2!$D$21&gt;=400,3,IF(PA2!$D$21&gt;=200,2,IF(PA2!$D$21&gt;=100,1,IF(PA2!$D$21&lt;50,-1,0)))))))</f>
        <v>10</v>
      </c>
      <c r="G429">
        <f>MAX(0,VLOOKUP($E429*PA2!$D$20*PA2!$D$44,$A$2:$B$61,2)+MIN(VLOOKUP($E429*PA2!$D$20*PA2!$D$44,$A$2:$B$61,2),IF(PA2!$D$21&gt;=800,4,IF(PA2!$D$21&gt;=400,3,IF(PA2!$D$21&gt;=200,2,IF(PA2!$D$21&gt;=100,1,IF(PA2!$D$21&lt;50,-1,0)))))))</f>
        <v>10</v>
      </c>
    </row>
    <row r="430" spans="4:7" ht="12.75">
      <c r="D430" t="s">
        <v>1378</v>
      </c>
      <c r="E430">
        <f>ROUND(7.1*SQRT(PA2!D$28),0)*E$423</f>
        <v>710</v>
      </c>
      <c r="F430">
        <f>MAX(0,VLOOKUP($E430*PA2!$D$20,$A$2:$B$61,2)+MIN(VLOOKUP($E430*PA2!$D$20,$A$2:$B$61,2),IF(PA2!$D$21&gt;=800,4,IF(PA2!$D$21&gt;=400,3,IF(PA2!$D$21&gt;=200,2,IF(PA2!$D$21&gt;=100,1,IF(PA2!$D$21&lt;50,-1,0)))))))</f>
        <v>10</v>
      </c>
      <c r="G430">
        <f>MAX(0,VLOOKUP($E430*PA2!$D$20*PA2!$D$44,$A$2:$B$61,2)+MIN(VLOOKUP($E430*PA2!$D$20*PA2!$D$44,$A$2:$B$61,2),IF(PA2!$D$21&gt;=800,4,IF(PA2!$D$21&gt;=400,3,IF(PA2!$D$21&gt;=200,2,IF(PA2!$D$21&gt;=100,1,IF(PA2!$D$21&lt;50,-1,0)))))))</f>
        <v>10</v>
      </c>
    </row>
    <row r="431" spans="4:7" ht="12.75">
      <c r="D431" t="s">
        <v>1379</v>
      </c>
      <c r="E431">
        <f>ROUND(7.1*SQRT(PA2!D$29),0)*E$423</f>
        <v>710</v>
      </c>
      <c r="F431">
        <f>MAX(0,VLOOKUP($E431*PA2!$D$20,$A$2:$B$61,2)+MIN(VLOOKUP($E431*PA2!$D$20,$A$2:$B$61,2),IF(PA2!$D$21&gt;=800,4,IF(PA2!$D$21&gt;=400,3,IF(PA2!$D$21&gt;=200,2,IF(PA2!$D$21&gt;=100,1,IF(PA2!$D$21&lt;50,-1,0)))))))</f>
        <v>10</v>
      </c>
      <c r="G431">
        <f>MAX(0,VLOOKUP($E431*PA2!$D$20*PA2!$D$44,$A$2:$B$61,2)+MIN(VLOOKUP($E431*PA2!$D$20*PA2!$D$44,$A$2:$B$61,2),IF(PA2!$D$21&gt;=800,4,IF(PA2!$D$21&gt;=400,3,IF(PA2!$D$21&gt;=200,2,IF(PA2!$D$21&gt;=100,1,IF(PA2!$D$21&lt;50,-1,0)))))))</f>
        <v>10</v>
      </c>
    </row>
    <row r="432" spans="4:7" ht="12.75">
      <c r="D432" t="s">
        <v>1380</v>
      </c>
      <c r="E432">
        <f>ROUND(7.1*SQRT(PA2!D$30),0)*E$423</f>
        <v>710</v>
      </c>
      <c r="F432">
        <f>MAX(0,VLOOKUP($E432*PA2!$D$20,$A$2:$B$61,2)+MIN(VLOOKUP($E432*PA2!$D$20,$A$2:$B$61,2),IF(PA2!$D$21&gt;=800,4,IF(PA2!$D$21&gt;=400,3,IF(PA2!$D$21&gt;=200,2,IF(PA2!$D$21&gt;=100,1,IF(PA2!$D$21&lt;50,-1,0)))))))</f>
        <v>10</v>
      </c>
      <c r="G432">
        <f>MAX(0,VLOOKUP($E432*PA2!$D$20*PA2!$D$44,$A$2:$B$61,2)+MIN(VLOOKUP($E432*PA2!$D$20*PA2!$D$44,$A$2:$B$61,2),IF(PA2!$D$21&gt;=800,4,IF(PA2!$D$21&gt;=400,3,IF(PA2!$D$21&gt;=200,2,IF(PA2!$D$21&gt;=100,1,IF(PA2!$D$21&lt;50,-1,0)))))))</f>
        <v>10</v>
      </c>
    </row>
    <row r="433" spans="4:8" ht="12.75">
      <c r="D433" t="s">
        <v>1381</v>
      </c>
      <c r="E433" s="473">
        <f>ROUND(7.1*SQRT(PA2!$E$26),0)</f>
        <v>710</v>
      </c>
      <c r="F433" s="473">
        <f>VLOOKUP($E433*PA2!$D$20,$A$112:$B$137,2)+MIN($E$417,0)</f>
        <v>16</v>
      </c>
      <c r="G433" s="473">
        <f>VLOOKUP($E433*PA2!$D$20*PA2!$D$44,$A$112:$B$137,2)+MIN($E$417,0)</f>
        <v>16</v>
      </c>
      <c r="H433" s="473">
        <f>IF(F433=0,0,VLOOKUP(E433,$A$112:$B$137,2))</f>
        <v>16</v>
      </c>
    </row>
    <row r="434" spans="4:8" ht="12.75">
      <c r="D434" t="s">
        <v>1382</v>
      </c>
      <c r="E434" s="473">
        <f>ROUND(7.1*SQRT(PA2!$E$27),0)</f>
        <v>710</v>
      </c>
      <c r="F434" s="473">
        <f>VLOOKUP($E434*PA2!$D$20,$A$112:$B$137,2)+MIN($E$417,0)</f>
        <v>16</v>
      </c>
      <c r="G434" s="473">
        <f>VLOOKUP($E434*PA2!$D$20*PA2!$D$44,$A$112:$B$137,2)+MIN($E$417,0)</f>
        <v>16</v>
      </c>
      <c r="H434" s="473">
        <f>IF(F434=0,0,VLOOKUP(E434,$A$112:$B$137,2))</f>
        <v>16</v>
      </c>
    </row>
    <row r="435" spans="4:8" ht="12.75">
      <c r="D435" t="s">
        <v>1383</v>
      </c>
      <c r="E435" s="473">
        <f>ROUND(7.1*SQRT(PA2!$E$28),0)</f>
        <v>710</v>
      </c>
      <c r="F435" s="473">
        <f>VLOOKUP($E435*PA2!$D$20,$A$112:$B$137,2)+MIN($E$417,0)</f>
        <v>16</v>
      </c>
      <c r="G435" s="473">
        <f>VLOOKUP($E435*PA2!$D$20*PA2!$D$44,$A$112:$B$137,2)+MIN($E$417,0)</f>
        <v>16</v>
      </c>
      <c r="H435" s="473">
        <f>IF(F435=0,0,VLOOKUP(E435,$A$112:$B$137,2))</f>
        <v>16</v>
      </c>
    </row>
    <row r="436" spans="4:8" ht="12.75">
      <c r="D436" t="s">
        <v>1384</v>
      </c>
      <c r="E436" s="473">
        <f>ROUND(7.1*SQRT(PA2!$E$29),0)</f>
        <v>710</v>
      </c>
      <c r="F436" s="473">
        <f>VLOOKUP($E436*PA2!$D$20,$A$112:$B$137,2)+MIN($E$417,0)</f>
        <v>16</v>
      </c>
      <c r="G436" s="473">
        <f>VLOOKUP($E436*PA2!$D$20*PA2!$D$44,$A$112:$B$137,2)+MIN($E$417,0)</f>
        <v>16</v>
      </c>
      <c r="H436" s="473">
        <f>IF(F436=0,0,VLOOKUP(E436,$A$112:$B$137,2))</f>
        <v>16</v>
      </c>
    </row>
    <row r="437" spans="4:8" ht="12.75">
      <c r="D437" t="s">
        <v>1385</v>
      </c>
      <c r="E437" s="473">
        <f>ROUND(7.1*SQRT(PA2!$E$30),0)</f>
        <v>710</v>
      </c>
      <c r="F437" s="473">
        <f>VLOOKUP($E437*PA2!$D$20,$A$112:$B$137,2)+MIN($E$417,0)</f>
        <v>16</v>
      </c>
      <c r="G437" s="473">
        <f>VLOOKUP($E437*PA2!$D$20*PA2!$D$44,$A$112:$B$137,2)+MIN($E$417,0)</f>
        <v>16</v>
      </c>
      <c r="H437" s="473">
        <f>IF(F437=0,0,VLOOKUP(E437,$A$112:$B$137,2))</f>
        <v>16</v>
      </c>
    </row>
    <row r="438" spans="4:7" ht="12.75">
      <c r="D438" s="473" t="s">
        <v>1386</v>
      </c>
      <c r="E438" s="473">
        <f>VLOOKUP(PA2!$D$21,$A$151:$B$161,2)</f>
        <v>0</v>
      </c>
      <c r="F438" s="473"/>
      <c r="G438" s="473"/>
    </row>
    <row r="439" spans="4:7" ht="12.75">
      <c r="D439" s="473"/>
      <c r="E439" s="473"/>
      <c r="F439" s="473"/>
      <c r="G439" s="473"/>
    </row>
    <row r="440" ht="12.75">
      <c r="D440" s="14" t="s">
        <v>1456</v>
      </c>
    </row>
    <row r="441" spans="4:5" ht="12.75">
      <c r="D441" t="s">
        <v>1447</v>
      </c>
      <c r="E441">
        <f>Mes1!D$9*CHOOSE((Mes1!D$7+1),0,0,0,0,0,0,0,0,0,0,0,0.8,1,1,1.2,1.2,1.4,1.4,1.5,1.5,1.6,1.6)</f>
        <v>50</v>
      </c>
    </row>
    <row r="442" spans="4:5" ht="12.75">
      <c r="D442" t="s">
        <v>1457</v>
      </c>
      <c r="E442">
        <f>Mes1!D$9*Mes1!D$10*CHOOSE((Mes1!D$7+1),0,0,0,0,0,0,0,0,0,0,0,0.02,0.01,0.01,0.01,0.01,0.005,0.005,0.005,0.005,0.002,0.002)</f>
        <v>1250</v>
      </c>
    </row>
    <row r="443" spans="4:5" ht="12.75">
      <c r="D443" t="s">
        <v>1446</v>
      </c>
      <c r="E443">
        <f>E442/Mes1!D$9</f>
        <v>25</v>
      </c>
    </row>
    <row r="444" spans="4:5" ht="12.75">
      <c r="D444" t="s">
        <v>1450</v>
      </c>
      <c r="E444">
        <f>E441*1000</f>
        <v>50000</v>
      </c>
    </row>
    <row r="445" spans="4:5" ht="12.75">
      <c r="D445" t="s">
        <v>1371</v>
      </c>
      <c r="E445">
        <f>Mes1!D$10*5</f>
        <v>12500</v>
      </c>
    </row>
    <row r="446" spans="4:5" ht="12.75">
      <c r="D446" t="s">
        <v>1458</v>
      </c>
      <c r="E446">
        <f>SUM(Mes1!D30:D34)</f>
        <v>1953</v>
      </c>
    </row>
    <row r="447" spans="4:6" ht="12.75">
      <c r="D447" t="s">
        <v>1459</v>
      </c>
      <c r="E447">
        <f>ROUND((6*E446/PI())^(1/3)*PI(),2)</f>
        <v>48.72</v>
      </c>
      <c r="F447">
        <f>(Mes1!D18/$F$9)/100</f>
        <v>0</v>
      </c>
    </row>
    <row r="448" spans="4:7" ht="12.75">
      <c r="D448" t="s">
        <v>1377</v>
      </c>
      <c r="E448">
        <f>ROUND(7.1*SQRT(Mes1!D$23),0)</f>
        <v>59</v>
      </c>
      <c r="F448">
        <f>MAX(0,VLOOKUP($E448*Mes1!$D$16,$A$2:$B$61,2))</f>
        <v>2</v>
      </c>
      <c r="G448">
        <f>MAX(0,VLOOKUP($E448*Mes1!$D$16*Mes1!$D$40,$A$2:$B$61,2))</f>
        <v>2</v>
      </c>
    </row>
    <row r="449" spans="4:7" ht="12.75">
      <c r="D449" t="s">
        <v>1378</v>
      </c>
      <c r="E449">
        <f>ROUND(7.1*SQRT(Mes1!D$24),0)</f>
        <v>30</v>
      </c>
      <c r="F449">
        <f>MAX(0,VLOOKUP($E449*Mes1!$D$16,$A$2:$B$61,2))</f>
        <v>1</v>
      </c>
      <c r="G449">
        <f>MAX(0,VLOOKUP($E449*Mes1!$D$16*Mes1!$D$40,$A$2:$B$61,2))</f>
        <v>1</v>
      </c>
    </row>
    <row r="450" spans="4:7" ht="12.75">
      <c r="D450" t="s">
        <v>1379</v>
      </c>
      <c r="E450">
        <f>ROUND(7.1*SQRT(Mes1!D$25),0)</f>
        <v>15</v>
      </c>
      <c r="F450">
        <f>MAX(0,VLOOKUP($E450*Mes1!$D$16,$A$2:$B$61,2))</f>
        <v>0</v>
      </c>
      <c r="G450">
        <f>MAX(0,VLOOKUP($E450*Mes1!$D$16*Mes1!$D$40,$A$2:$B$61,2))</f>
        <v>0</v>
      </c>
    </row>
    <row r="451" spans="4:7" ht="12.75">
      <c r="D451" t="s">
        <v>1380</v>
      </c>
      <c r="E451">
        <f>ROUND(7.1*SQRT(Mes1!D$26),0)</f>
        <v>7</v>
      </c>
      <c r="F451">
        <f>MAX(0,VLOOKUP($E451*Mes1!$D$16,$A$2:$B$61,2))</f>
        <v>0</v>
      </c>
      <c r="G451">
        <f>MAX(0,VLOOKUP($E451*Mes1!$D$16*Mes1!$D$40,$A$2:$B$61,2))</f>
        <v>0</v>
      </c>
    </row>
    <row r="452" spans="4:8" ht="12.75">
      <c r="D452" t="s">
        <v>1381</v>
      </c>
      <c r="E452" s="473">
        <f>ROUND(7.1*SQRT(Mes1!$E$22),0)</f>
        <v>118</v>
      </c>
      <c r="F452" s="473">
        <f>VLOOKUP($E452*Mes1!$D$16,$A$112:$B$137,2)+MIN($E$457,0)</f>
        <v>11</v>
      </c>
      <c r="G452" s="473">
        <f>VLOOKUP($E452*Mes1!$D$16*Mes1!$D$40,$A$112:$B$137,2)+MIN($E$457,0)</f>
        <v>11</v>
      </c>
      <c r="H452" s="473">
        <f>IF(F452=0,0,VLOOKUP(E452,$A$112:$B$137,2))</f>
        <v>11</v>
      </c>
    </row>
    <row r="453" spans="4:8" ht="12.75">
      <c r="D453" t="s">
        <v>1382</v>
      </c>
      <c r="E453" s="473">
        <f>ROUND(7.1*SQRT(Mes1!$E$23),0)</f>
        <v>59</v>
      </c>
      <c r="F453" s="473">
        <f>VLOOKUP($E453*Mes1!$D$16,$A$112:$B$137,2)+MIN($E$457,0)</f>
        <v>9</v>
      </c>
      <c r="G453" s="473">
        <f>VLOOKUP($E453*Mes1!$D$16*Mes1!$D$40,$A$112:$B$137,2)+MIN($E$457,0)</f>
        <v>9</v>
      </c>
      <c r="H453" s="473">
        <f>IF(F453=0,0,VLOOKUP(E453,$A$112:$B$137,2))</f>
        <v>9</v>
      </c>
    </row>
    <row r="454" spans="4:8" ht="12.75">
      <c r="D454" t="s">
        <v>1383</v>
      </c>
      <c r="E454" s="473">
        <f>ROUND(7.1*SQRT(Mes1!$E$24),0)</f>
        <v>30</v>
      </c>
      <c r="F454" s="473">
        <f>VLOOKUP($E454*Mes1!$D$16,$A$112:$B$137,2)+MIN($E$457,0)</f>
        <v>7</v>
      </c>
      <c r="G454" s="473">
        <f>VLOOKUP($E454*Mes1!$D$16*Mes1!$D$40,$A$112:$B$137,2)+MIN($E$457,0)</f>
        <v>7</v>
      </c>
      <c r="H454" s="473">
        <f>IF(F454=0,0,VLOOKUP(E454,$A$112:$B$137,2))</f>
        <v>7</v>
      </c>
    </row>
    <row r="455" spans="4:8" ht="12.75">
      <c r="D455" t="s">
        <v>1384</v>
      </c>
      <c r="E455" s="473">
        <f>ROUND(7.1*SQRT(Mes1!$E$25),0)</f>
        <v>15</v>
      </c>
      <c r="F455" s="473">
        <f>VLOOKUP($E455*Mes1!$D$16,$A$112:$B$137,2)+MIN($E$457,0)</f>
        <v>6</v>
      </c>
      <c r="G455" s="473">
        <f>VLOOKUP($E455*Mes1!$D$16*Mes1!$D$40,$A$112:$B$137,2)+MIN($E$457,0)</f>
        <v>6</v>
      </c>
      <c r="H455" s="473">
        <f>IF(F455=0,0,VLOOKUP(E455,$A$112:$B$137,2))</f>
        <v>6</v>
      </c>
    </row>
    <row r="456" spans="4:8" ht="12.75">
      <c r="D456" t="s">
        <v>1385</v>
      </c>
      <c r="E456" s="473">
        <f>ROUND(7.1*SQRT(Mes1!$E$26),0)</f>
        <v>0</v>
      </c>
      <c r="F456" s="473">
        <f>VLOOKUP($E456*Mes1!$D$16,$A$112:$B$137,2)+MIN($E$457,0)</f>
        <v>0</v>
      </c>
      <c r="G456" s="473">
        <f>VLOOKUP($E456*Mes1!$D$16*Mes1!$D$40,$A$112:$B$137,2)+MIN($E$457,0)</f>
        <v>0</v>
      </c>
      <c r="H456" s="473">
        <f>IF(F456=0,0,VLOOKUP(E456,$A$112:$B$137,2))</f>
        <v>0</v>
      </c>
    </row>
    <row r="457" spans="4:7" ht="12.75">
      <c r="D457" s="473" t="s">
        <v>1386</v>
      </c>
      <c r="E457" s="473">
        <f>VLOOKUP(Mes1!$D$17,$A$151:$B$161,2)</f>
        <v>0</v>
      </c>
      <c r="F457" s="473"/>
      <c r="G457" s="473"/>
    </row>
    <row r="458" spans="4:7" ht="12.75">
      <c r="D458" s="473"/>
      <c r="E458" s="473"/>
      <c r="F458" s="473"/>
      <c r="G458" s="473"/>
    </row>
    <row r="459" ht="12.75">
      <c r="D459" s="14" t="s">
        <v>1460</v>
      </c>
    </row>
    <row r="460" spans="4:5" ht="12.75">
      <c r="D460" t="s">
        <v>1447</v>
      </c>
      <c r="E460">
        <f>Mes2!D$9*CHOOSE((Mes2!D$7+1),0,0,0,0,0,0,0,0,0,0,0,0.8,1,1,1.2,1.2,1.4,1.4,1.5,1.5,1.6,1.6)</f>
        <v>100</v>
      </c>
    </row>
    <row r="461" spans="4:5" ht="12.75">
      <c r="D461" t="s">
        <v>1457</v>
      </c>
      <c r="E461">
        <f>Mes2!D$9*Mes2!D$10*CHOOSE((Mes2!D$7+1),0,0,0,0,0,0,0,0,0,0,0,0.02,0.01,0.01,0.01,0.01,0.005,0.005,0.005,0.005,0.002,0.002)</f>
        <v>10000</v>
      </c>
    </row>
    <row r="462" spans="4:5" ht="12.75">
      <c r="D462" t="s">
        <v>1446</v>
      </c>
      <c r="E462">
        <f>E461/Mes2!D$9</f>
        <v>100</v>
      </c>
    </row>
    <row r="463" spans="4:5" ht="12.75">
      <c r="D463" t="s">
        <v>1450</v>
      </c>
      <c r="E463">
        <f>E460*1000</f>
        <v>100000</v>
      </c>
    </row>
    <row r="464" spans="4:5" ht="12.75">
      <c r="D464" t="s">
        <v>1371</v>
      </c>
      <c r="E464">
        <f>Mes2!D$10*5</f>
        <v>50000</v>
      </c>
    </row>
    <row r="465" spans="4:5" ht="12.75">
      <c r="D465" t="s">
        <v>1458</v>
      </c>
      <c r="E465">
        <f>SUM(Mes2!D30:D34)</f>
        <v>12781</v>
      </c>
    </row>
    <row r="466" spans="4:6" ht="12.75">
      <c r="D466" t="s">
        <v>1459</v>
      </c>
      <c r="E466">
        <f>ROUND((6*E465/PI())^(1/3)*PI(),2)</f>
        <v>91.13</v>
      </c>
      <c r="F466">
        <f>(Mes2!D18/$F$9)/100</f>
        <v>0</v>
      </c>
    </row>
    <row r="467" spans="4:7" ht="12.75">
      <c r="D467" t="s">
        <v>1377</v>
      </c>
      <c r="E467">
        <f>ROUND(7.1*SQRT(Mes2!D$23),0)</f>
        <v>710</v>
      </c>
      <c r="F467">
        <f>MAX(0,VLOOKUP($E467*Mes2!$D$16,$A$2:$B$61,2))</f>
        <v>10</v>
      </c>
      <c r="G467">
        <f>MAX(0,VLOOKUP($E467*Mes2!$D$16*Mes2!$D$40,$A$2:$B$61,2))</f>
        <v>10</v>
      </c>
    </row>
    <row r="468" spans="4:7" ht="12.75">
      <c r="D468" t="s">
        <v>1378</v>
      </c>
      <c r="E468">
        <f>ROUND(7.1*SQRT(Mes2!D$24),0)</f>
        <v>710</v>
      </c>
      <c r="F468">
        <f>MAX(0,VLOOKUP($E468*Mes2!$D$16,$A$2:$B$61,2))</f>
        <v>10</v>
      </c>
      <c r="G468">
        <f>MAX(0,VLOOKUP($E468*Mes2!$D$16*Mes2!$D$40,$A$2:$B$61,2))</f>
        <v>10</v>
      </c>
    </row>
    <row r="469" spans="4:7" ht="12.75">
      <c r="D469" t="s">
        <v>1379</v>
      </c>
      <c r="E469">
        <f>ROUND(7.1*SQRT(Mes2!D$25),0)</f>
        <v>592</v>
      </c>
      <c r="F469">
        <f>MAX(0,VLOOKUP($E469*Mes2!$D$16,$A$2:$B$61,2))</f>
        <v>10</v>
      </c>
      <c r="G469">
        <f>MAX(0,VLOOKUP($E469*Mes2!$D$16*Mes2!$D$40,$A$2:$B$61,2))</f>
        <v>10</v>
      </c>
    </row>
    <row r="470" spans="4:7" ht="12.75">
      <c r="D470" t="s">
        <v>1380</v>
      </c>
      <c r="E470">
        <f>ROUND(7.1*SQRT(Mes2!D$26),0)</f>
        <v>296</v>
      </c>
      <c r="F470">
        <f>MAX(0,VLOOKUP($E470*Mes2!$D$16,$A$2:$B$61,2))</f>
        <v>7</v>
      </c>
      <c r="G470">
        <f>MAX(0,VLOOKUP($E470*Mes2!$D$16*Mes2!$D$40,$A$2:$B$61,2))</f>
        <v>7</v>
      </c>
    </row>
    <row r="471" spans="4:8" ht="12.75">
      <c r="D471" t="s">
        <v>1381</v>
      </c>
      <c r="E471" s="473">
        <f>ROUND(7.1*SQRT(Mes2!$E$22),0)</f>
        <v>237</v>
      </c>
      <c r="F471" s="473">
        <f>VLOOKUP($E471*Mes2!$D$16,$A$112:$B$137,2)+MIN($E$457,0)</f>
        <v>13</v>
      </c>
      <c r="G471" s="473">
        <f>VLOOKUP($E471*Mes2!$D$16*Mes2!$D$40,$A$112:$B$137,2)+MIN($E$457,0)</f>
        <v>13</v>
      </c>
      <c r="H471" s="473">
        <f>IF(F471=0,0,VLOOKUP(E471,$A$112:$B$137,2))</f>
        <v>13</v>
      </c>
    </row>
    <row r="472" spans="4:8" ht="12.75">
      <c r="D472" t="s">
        <v>1382</v>
      </c>
      <c r="E472" s="473">
        <f>ROUND(7.1*SQRT(Mes2!$E$23),0)</f>
        <v>118</v>
      </c>
      <c r="F472" s="473">
        <f>VLOOKUP($E472*Mes2!$D$16,$A$112:$B$137,2)+MIN($E$457,0)</f>
        <v>11</v>
      </c>
      <c r="G472" s="473">
        <f>VLOOKUP($E472*Mes2!$D$16*Mes2!$D$40,$A$112:$B$137,2)+MIN($E$457,0)</f>
        <v>11</v>
      </c>
      <c r="H472" s="473">
        <f>IF(F472=0,0,VLOOKUP(E472,$A$112:$B$137,2))</f>
        <v>11</v>
      </c>
    </row>
    <row r="473" spans="4:8" ht="12.75">
      <c r="D473" t="s">
        <v>1383</v>
      </c>
      <c r="E473" s="473">
        <f>ROUND(7.1*SQRT(Mes2!$E$24),0)</f>
        <v>59</v>
      </c>
      <c r="F473" s="473">
        <f>VLOOKUP($E473*Mes2!$D$16,$A$112:$B$137,2)+MIN($E$457,0)</f>
        <v>9</v>
      </c>
      <c r="G473" s="473">
        <f>VLOOKUP($E473*Mes2!$D$16*Mes2!$D$40,$A$112:$B$137,2)+MIN($E$457,0)</f>
        <v>9</v>
      </c>
      <c r="H473" s="473">
        <f>IF(F473=0,0,VLOOKUP(E473,$A$112:$B$137,2))</f>
        <v>9</v>
      </c>
    </row>
    <row r="474" spans="4:8" ht="12.75">
      <c r="D474" t="s">
        <v>1384</v>
      </c>
      <c r="E474" s="473">
        <f>ROUND(7.1*SQRT(Mes2!$E$25),0)</f>
        <v>30</v>
      </c>
      <c r="F474" s="473">
        <f>VLOOKUP($E474*Mes2!$D$16,$A$112:$B$137,2)+MIN($E$457,0)</f>
        <v>7</v>
      </c>
      <c r="G474" s="473">
        <f>VLOOKUP($E474*Mes2!$D$16*Mes2!$D$40,$A$112:$B$137,2)+MIN($E$457,0)</f>
        <v>7</v>
      </c>
      <c r="H474" s="473">
        <f>IF(F474=0,0,VLOOKUP(E474,$A$112:$B$137,2))</f>
        <v>7</v>
      </c>
    </row>
    <row r="475" spans="4:8" ht="12.75">
      <c r="D475" t="s">
        <v>1385</v>
      </c>
      <c r="E475" s="473">
        <f>ROUND(7.1*SQRT(Mes2!$E$26),0)</f>
        <v>0</v>
      </c>
      <c r="F475" s="473">
        <f>VLOOKUP($E475*Mes2!$D$16,$A$112:$B$137,2)+MIN($E$457,0)</f>
        <v>0</v>
      </c>
      <c r="G475" s="473">
        <f>VLOOKUP($E475*Mes2!$D$16*Mes2!$D$40,$A$112:$B$137,2)+MIN($E$457,0)</f>
        <v>0</v>
      </c>
      <c r="H475" s="473">
        <f>IF(F475=0,0,VLOOKUP(E475,$A$112:$B$137,2))</f>
        <v>0</v>
      </c>
    </row>
    <row r="476" spans="4:7" ht="12.75">
      <c r="D476" s="473" t="s">
        <v>1386</v>
      </c>
      <c r="E476" s="473">
        <f>VLOOKUP(Mes2!$D$17,$A$151:$B$161,2)</f>
        <v>0</v>
      </c>
      <c r="F476" s="473"/>
      <c r="G476" s="473"/>
    </row>
    <row r="477" spans="4:7" ht="12.75">
      <c r="D477" s="473"/>
      <c r="E477" s="473"/>
      <c r="F477" s="473"/>
      <c r="G477" s="473"/>
    </row>
    <row r="478" spans="4:7" ht="12.75">
      <c r="D478" s="473"/>
      <c r="E478" s="473"/>
      <c r="F478" s="473"/>
      <c r="G478" s="473"/>
    </row>
    <row r="479" spans="4:7" ht="12.75">
      <c r="D479" s="473"/>
      <c r="E479" s="473"/>
      <c r="F479" s="473"/>
      <c r="G479" s="473"/>
    </row>
    <row r="481" ht="12.75">
      <c r="D481" s="14" t="s">
        <v>1461</v>
      </c>
    </row>
    <row r="482" spans="4:5" ht="12.75">
      <c r="D482" t="s">
        <v>1462</v>
      </c>
      <c r="E482">
        <f>IF($F$3&lt;14000,1,IF($F$3&lt;140000,0.5,IF($F$3&lt;1400000,0.25,IF($F$3&lt;14000000,0.125,0.0625))))</f>
        <v>1</v>
      </c>
    </row>
    <row r="483" spans="4:5" ht="12.75">
      <c r="D483" t="s">
        <v>1463</v>
      </c>
      <c r="E483">
        <f>ROUND(IF(Design!E65=0,0,IF(Design!D65&lt;9,#VALUE!,Design!F65/(CHOOSE((Design!D65+1),0,0,0,0,0,0,0,0,0,5.7,7.1,7.9,8.6,8.6,10,10,11.4,11.4,12.9,12.9,14.3,14.3)*E482))),1)</f>
        <v>0</v>
      </c>
    </row>
    <row r="484" spans="4:5" ht="12.75">
      <c r="D484" t="s">
        <v>1464</v>
      </c>
      <c r="E484">
        <f>ROUND(IF(Design!E67=0,0,IF(Design!D67&lt;9,#VALUE!,Design!F67/(CHOOSE((Design!D67+1),0,0,0,0,0,0,0,0,0,5.7,7.1,7.9,8.6,8.6,10,10,11.4,11.4,12.9,12.9,14.3,14.3)*E482))),1)</f>
        <v>0</v>
      </c>
    </row>
    <row r="486" ht="12.75">
      <c r="D486" s="14" t="s">
        <v>1465</v>
      </c>
    </row>
    <row r="487" spans="4:5" ht="12.75">
      <c r="D487" t="s">
        <v>1466</v>
      </c>
      <c r="E487">
        <f>IF($F$3&lt;14000,1,IF($F$3&lt;140000,2,IF($F$3&lt;1400000,4,IF($F$3&lt;14000000,8,16))))</f>
        <v>1</v>
      </c>
    </row>
    <row r="488" spans="4:5" ht="12.75">
      <c r="D488" t="s">
        <v>1467</v>
      </c>
      <c r="E488">
        <f>CHOOSE((Design!D71+1),0,0,0,0,0,0,0,0,0,0,0,0,50,60,70,80,90,100,105,110,115,120)</f>
        <v>50</v>
      </c>
    </row>
    <row r="489" spans="4:5" ht="12.75">
      <c r="D489" t="s">
        <v>1468</v>
      </c>
      <c r="E489">
        <f>E487*(Design!F71/E488)^2</f>
        <v>0</v>
      </c>
    </row>
    <row r="490" spans="4:5" ht="12.75">
      <c r="D490" t="s">
        <v>1469</v>
      </c>
      <c r="E490">
        <f>CHOOSE((Design!D72+1),0,0,0,0,0,0,0,0,0,0,0,0,50,60,70,80,90,100,105,110,115,120)</f>
        <v>50</v>
      </c>
    </row>
    <row r="491" spans="4:5" ht="12.75">
      <c r="D491" t="s">
        <v>1470</v>
      </c>
      <c r="E491">
        <f>E487*(Design!F72/E490)^2</f>
        <v>0</v>
      </c>
    </row>
    <row r="492" spans="4:5" ht="12.75">
      <c r="D492" t="s">
        <v>1471</v>
      </c>
      <c r="E492">
        <f>IF(Design!E71=0,0,MAX(ROUND((Design!L71/100)*$E$148,0),1))</f>
        <v>0</v>
      </c>
    </row>
    <row r="494" ht="12.75">
      <c r="D494" s="14" t="s">
        <v>960</v>
      </c>
    </row>
    <row r="495" spans="4:6" ht="12.75">
      <c r="D495" t="s">
        <v>1472</v>
      </c>
      <c r="E495">
        <f>Design!F73</f>
        <v>0</v>
      </c>
      <c r="F495">
        <f>IF(E495&lt;=0.5,0,IF(E495&lt;=5,1,IF(E495&lt;=50,2,IF(E495&lt;=500,3,IF(E495&lt;=5000,4,IF(E495&lt;=50000,5,6))))))</f>
        <v>0</v>
      </c>
    </row>
    <row r="497" ht="12.75">
      <c r="D497" s="14" t="s">
        <v>1473</v>
      </c>
    </row>
    <row r="498" spans="4:5" ht="12.75">
      <c r="D498" t="s">
        <v>1474</v>
      </c>
      <c r="E498">
        <f>IF($F$3&lt;14000,1,IF($F$3&lt;140000,2,IF($F$3&lt;1400000,4,IF($F$3&lt;14000000,8,16))))</f>
        <v>1</v>
      </c>
    </row>
    <row r="499" spans="4:5" ht="12.75">
      <c r="D499" t="s">
        <v>1475</v>
      </c>
      <c r="E499">
        <f>CHOOSE((Design!D75+1),0,0,0,0,0,0,0,0,0,0,0,0,50,80,100,110,130,130,180,180,180,180)</f>
        <v>50</v>
      </c>
    </row>
    <row r="500" spans="4:5" ht="12.75">
      <c r="D500" t="s">
        <v>1476</v>
      </c>
      <c r="E500">
        <f>E498*(Design!F75/E499)^2</f>
        <v>0</v>
      </c>
    </row>
    <row r="501" spans="4:5" ht="12.75">
      <c r="D501" t="s">
        <v>1477</v>
      </c>
      <c r="E501">
        <f>CHOOSE((Design!D76+1),0,0,0,0,0,0,0,0,0,0,0,0,50,80,100,110,130,130,180,180,180,180)</f>
        <v>50</v>
      </c>
    </row>
    <row r="502" spans="4:5" ht="12.75">
      <c r="D502" t="s">
        <v>1478</v>
      </c>
      <c r="E502">
        <f>E498*(Design!F76/E501)^2</f>
        <v>0</v>
      </c>
    </row>
    <row r="503" spans="4:5" ht="12.75">
      <c r="D503" t="s">
        <v>1479</v>
      </c>
      <c r="E503">
        <f>IF(Design!E75=0,0,MAX(ROUND((Design!L75/100)*$E$148,0),1))</f>
        <v>0</v>
      </c>
    </row>
    <row r="504" ht="12.75">
      <c r="G504" t="s">
        <v>1480</v>
      </c>
    </row>
    <row r="505" spans="4:21" ht="12.75">
      <c r="D505" s="14" t="s">
        <v>1481</v>
      </c>
      <c r="H505">
        <v>-3</v>
      </c>
      <c r="I505">
        <v>-2</v>
      </c>
      <c r="J505">
        <v>-1</v>
      </c>
      <c r="K505">
        <v>0</v>
      </c>
      <c r="L505">
        <v>1</v>
      </c>
      <c r="M505">
        <v>2</v>
      </c>
      <c r="N505">
        <v>3</v>
      </c>
      <c r="O505">
        <v>4</v>
      </c>
      <c r="P505">
        <v>5</v>
      </c>
      <c r="Q505">
        <v>6</v>
      </c>
      <c r="R505">
        <v>7</v>
      </c>
      <c r="S505">
        <v>8</v>
      </c>
      <c r="T505">
        <v>9</v>
      </c>
      <c r="U505">
        <v>10</v>
      </c>
    </row>
    <row r="506" spans="4:21" ht="12.75">
      <c r="D506" t="s">
        <v>1482</v>
      </c>
      <c r="E506">
        <f>CHOOSE((Design!D77+1),0,0,0,0,0,0,0,0,50,50,78.57,78.57,78.57,100,100,157.14,157.14,157.14,157.14,157.14,157.14,235.71)</f>
        <v>78.57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</row>
    <row r="507" spans="4:21" ht="12.75">
      <c r="D507" t="s">
        <v>1483</v>
      </c>
      <c r="E507">
        <f>ROUND(Design!F77/E506,3)</f>
        <v>0</v>
      </c>
      <c r="G507">
        <v>1</v>
      </c>
      <c r="H507">
        <v>-3</v>
      </c>
      <c r="I507">
        <v>-3</v>
      </c>
      <c r="J507">
        <v>-3</v>
      </c>
      <c r="K507">
        <v>-3</v>
      </c>
      <c r="L507">
        <v>-3</v>
      </c>
      <c r="M507">
        <v>-1</v>
      </c>
      <c r="N507">
        <v>-1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</row>
    <row r="508" spans="4:21" ht="12.75">
      <c r="D508" t="s">
        <v>1484</v>
      </c>
      <c r="E508">
        <f>E507*Design!G77</f>
        <v>0</v>
      </c>
      <c r="G508">
        <v>2</v>
      </c>
      <c r="H508">
        <v>-3</v>
      </c>
      <c r="I508">
        <v>-3</v>
      </c>
      <c r="J508">
        <v>-3</v>
      </c>
      <c r="K508">
        <v>-3</v>
      </c>
      <c r="L508">
        <v>-3</v>
      </c>
      <c r="M508">
        <v>-3</v>
      </c>
      <c r="N508">
        <v>-2</v>
      </c>
      <c r="O508">
        <v>-1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</row>
    <row r="509" spans="4:21" ht="12.75">
      <c r="D509" t="s">
        <v>1485</v>
      </c>
      <c r="E509">
        <f>E508*CHOOSE((Design!D77+1),0,0,0,0,0,0,0,0,4.25,3.67,3.2,2.5,1.8,1.4,1.1,0.68,0.68,0.56,0.56,0.45,0.45,0.35)</f>
        <v>0</v>
      </c>
      <c r="G509">
        <v>3</v>
      </c>
      <c r="H509">
        <v>-3</v>
      </c>
      <c r="I509">
        <v>-3</v>
      </c>
      <c r="J509">
        <v>-3</v>
      </c>
      <c r="K509">
        <v>-3</v>
      </c>
      <c r="L509">
        <v>-3</v>
      </c>
      <c r="M509">
        <v>-3</v>
      </c>
      <c r="N509">
        <v>-3</v>
      </c>
      <c r="O509">
        <v>-2</v>
      </c>
      <c r="P509">
        <v>-1</v>
      </c>
      <c r="Q509">
        <v>0</v>
      </c>
      <c r="R509">
        <v>0</v>
      </c>
      <c r="S509">
        <v>0</v>
      </c>
      <c r="T509">
        <v>0</v>
      </c>
      <c r="U509">
        <v>0</v>
      </c>
    </row>
    <row r="510" spans="4:21" ht="12.75">
      <c r="D510" t="s">
        <v>1486</v>
      </c>
      <c r="E510">
        <f>E509*CHOOSE((Design!D77+1),0,0,0,0,0,0,0,0,1.24,1.24,1.25,1.27,1.3,1.33,1.36,1.47,1.47,1.53,1.53,1.62,1.62,1.73)</f>
        <v>0</v>
      </c>
      <c r="G510">
        <v>5</v>
      </c>
      <c r="H510">
        <v>-3</v>
      </c>
      <c r="I510">
        <v>-3</v>
      </c>
      <c r="J510">
        <v>-3</v>
      </c>
      <c r="K510">
        <v>-3</v>
      </c>
      <c r="L510">
        <v>-3</v>
      </c>
      <c r="M510">
        <v>-3</v>
      </c>
      <c r="N510">
        <v>-3</v>
      </c>
      <c r="O510">
        <v>-3</v>
      </c>
      <c r="P510">
        <v>-2</v>
      </c>
      <c r="Q510">
        <v>-1</v>
      </c>
      <c r="R510">
        <v>0</v>
      </c>
      <c r="S510">
        <v>0</v>
      </c>
      <c r="T510">
        <v>0</v>
      </c>
      <c r="U510">
        <v>0</v>
      </c>
    </row>
    <row r="511" spans="4:21" ht="12.75">
      <c r="D511" t="s">
        <v>1487</v>
      </c>
      <c r="E511">
        <f>E509*CHOOSE((Design!D77+1),0,0,0,0,0,0,0,0,0.018,0.02,0.022,0.025,0.03,0.035,0.041,0.059,0.059,0.08,0.08,0.108,0.108,0.145)</f>
        <v>0</v>
      </c>
      <c r="G511">
        <v>7</v>
      </c>
      <c r="H511">
        <v>-3</v>
      </c>
      <c r="I511">
        <v>-3</v>
      </c>
      <c r="J511">
        <v>-3</v>
      </c>
      <c r="K511">
        <v>-3</v>
      </c>
      <c r="L511">
        <v>-3</v>
      </c>
      <c r="M511">
        <v>-3</v>
      </c>
      <c r="N511">
        <v>-3</v>
      </c>
      <c r="O511">
        <v>-3</v>
      </c>
      <c r="P511">
        <v>-3</v>
      </c>
      <c r="Q511">
        <v>-2</v>
      </c>
      <c r="R511">
        <v>-1</v>
      </c>
      <c r="S511">
        <v>0</v>
      </c>
      <c r="T511">
        <v>0</v>
      </c>
      <c r="U511">
        <v>0</v>
      </c>
    </row>
    <row r="512" spans="4:21" ht="12.75">
      <c r="D512" t="s">
        <v>1488</v>
      </c>
      <c r="E512">
        <f>E508+E509</f>
        <v>0</v>
      </c>
      <c r="G512">
        <v>10</v>
      </c>
      <c r="H512">
        <v>-3</v>
      </c>
      <c r="I512">
        <v>-3</v>
      </c>
      <c r="J512">
        <v>-3</v>
      </c>
      <c r="K512">
        <v>-3</v>
      </c>
      <c r="L512">
        <v>-3</v>
      </c>
      <c r="M512">
        <v>-3</v>
      </c>
      <c r="N512">
        <v>-3</v>
      </c>
      <c r="O512">
        <v>-3</v>
      </c>
      <c r="P512">
        <v>-3</v>
      </c>
      <c r="Q512">
        <v>-3</v>
      </c>
      <c r="R512">
        <v>-2</v>
      </c>
      <c r="S512">
        <v>-1</v>
      </c>
      <c r="T512">
        <v>0</v>
      </c>
      <c r="U512">
        <v>0</v>
      </c>
    </row>
    <row r="513" spans="4:21" ht="12.75">
      <c r="D513" t="s">
        <v>1489</v>
      </c>
      <c r="E513">
        <f>ROUND((((E512^(1/3))/2)^2)*PI(),0)</f>
        <v>0</v>
      </c>
      <c r="G513">
        <v>15</v>
      </c>
      <c r="H513">
        <v>-3</v>
      </c>
      <c r="I513">
        <v>-3</v>
      </c>
      <c r="J513">
        <v>-3</v>
      </c>
      <c r="K513">
        <v>-3</v>
      </c>
      <c r="L513">
        <v>-3</v>
      </c>
      <c r="M513">
        <v>-3</v>
      </c>
      <c r="N513">
        <v>-3</v>
      </c>
      <c r="O513">
        <v>-3</v>
      </c>
      <c r="P513">
        <v>-3</v>
      </c>
      <c r="Q513">
        <v>-3</v>
      </c>
      <c r="R513">
        <v>-3</v>
      </c>
      <c r="S513">
        <v>-2</v>
      </c>
      <c r="T513">
        <v>-1</v>
      </c>
      <c r="U513">
        <v>0</v>
      </c>
    </row>
    <row r="514" spans="7:21" ht="12.75">
      <c r="G514">
        <v>20</v>
      </c>
      <c r="H514">
        <v>-3</v>
      </c>
      <c r="I514">
        <v>-3</v>
      </c>
      <c r="J514">
        <v>-3</v>
      </c>
      <c r="K514">
        <v>-3</v>
      </c>
      <c r="L514">
        <v>-3</v>
      </c>
      <c r="M514">
        <v>-3</v>
      </c>
      <c r="N514">
        <v>-3</v>
      </c>
      <c r="O514">
        <v>-3</v>
      </c>
      <c r="P514">
        <v>-3</v>
      </c>
      <c r="Q514">
        <v>-3</v>
      </c>
      <c r="R514">
        <v>-3</v>
      </c>
      <c r="S514">
        <v>-3</v>
      </c>
      <c r="T514">
        <v>-2</v>
      </c>
      <c r="U514">
        <v>-1</v>
      </c>
    </row>
    <row r="515" spans="7:21" ht="12.75">
      <c r="G515">
        <v>30</v>
      </c>
      <c r="H515">
        <v>-3</v>
      </c>
      <c r="I515">
        <v>-3</v>
      </c>
      <c r="J515">
        <v>-3</v>
      </c>
      <c r="K515">
        <v>-3</v>
      </c>
      <c r="L515">
        <v>-3</v>
      </c>
      <c r="M515">
        <v>-3</v>
      </c>
      <c r="N515">
        <v>-3</v>
      </c>
      <c r="O515">
        <v>-3</v>
      </c>
      <c r="P515">
        <v>-3</v>
      </c>
      <c r="Q515">
        <v>-3</v>
      </c>
      <c r="R515">
        <v>-3</v>
      </c>
      <c r="S515">
        <v>-3</v>
      </c>
      <c r="T515">
        <v>-3</v>
      </c>
      <c r="U515">
        <v>-2</v>
      </c>
    </row>
    <row r="516" spans="7:21" ht="12.75">
      <c r="G516">
        <v>50</v>
      </c>
      <c r="H516">
        <v>-3</v>
      </c>
      <c r="I516">
        <v>-3</v>
      </c>
      <c r="J516">
        <v>-3</v>
      </c>
      <c r="K516">
        <v>-3</v>
      </c>
      <c r="L516">
        <v>-3</v>
      </c>
      <c r="M516">
        <v>-3</v>
      </c>
      <c r="N516">
        <v>-3</v>
      </c>
      <c r="O516">
        <v>-3</v>
      </c>
      <c r="P516">
        <v>-3</v>
      </c>
      <c r="Q516">
        <v>-3</v>
      </c>
      <c r="R516">
        <v>-3</v>
      </c>
      <c r="S516">
        <v>-3</v>
      </c>
      <c r="T516">
        <v>-3</v>
      </c>
      <c r="U516">
        <v>-3</v>
      </c>
    </row>
    <row r="524" ht="12.75">
      <c r="D524" s="14" t="s">
        <v>1490</v>
      </c>
    </row>
    <row r="525" spans="4:6" ht="12.75">
      <c r="D525" t="s">
        <v>1491</v>
      </c>
      <c r="E525">
        <f>Design!F79</f>
        <v>0</v>
      </c>
      <c r="F525">
        <f>IF(E525&lt;=0.5,0,IF(E525&lt;=5,1,IF(E525&lt;=50,2,IF(E525&lt;=500,3,IF(E525&lt;=5000,4,IF(E525&lt;=50000,5,6))))))</f>
        <v>0</v>
      </c>
    </row>
    <row r="527" spans="4:12" ht="12.75">
      <c r="D527" s="14" t="s">
        <v>762</v>
      </c>
      <c r="E527" t="s">
        <v>1415</v>
      </c>
      <c r="F527" t="s">
        <v>1416</v>
      </c>
      <c r="G527" t="s">
        <v>1417</v>
      </c>
      <c r="H527" t="s">
        <v>1418</v>
      </c>
      <c r="I527" t="s">
        <v>1419</v>
      </c>
      <c r="J527" t="s">
        <v>1420</v>
      </c>
      <c r="K527" t="s">
        <v>1421</v>
      </c>
      <c r="L527" t="s">
        <v>913</v>
      </c>
    </row>
    <row r="528" spans="4:12" ht="12.75">
      <c r="D528" t="s">
        <v>1422</v>
      </c>
      <c r="E528">
        <f>CHOOSE((Design!D138+1),0,0,0,0,0,0,30,20,10,10,10,10,10,10,10,10,10,10,10,10,10,10)</f>
        <v>10</v>
      </c>
      <c r="F528">
        <f>IF(Design!F138=0,0,Design!F138/CHOOSE((Design!D138+1),0,0,0,0,0,0,0.3,0.6,1,1,1,1,1,1,1,1,1,1,1,1,1,1))</f>
        <v>0</v>
      </c>
      <c r="G528">
        <f>F528/1.1</f>
        <v>0</v>
      </c>
      <c r="H528">
        <f>F528/1.21</f>
        <v>0</v>
      </c>
      <c r="I528">
        <f>F528/1.33</f>
        <v>0</v>
      </c>
      <c r="J528">
        <f>F528/1.46</f>
        <v>0</v>
      </c>
      <c r="K528">
        <f>F528/1.61</f>
        <v>0</v>
      </c>
      <c r="L528">
        <f>IF(Design!K138&gt;(E528*100000),1.61,IF(Design!K138&gt;(E528*10000),1.46,IF(Design!K138&gt;(E528*1000),1.33,IF(Design!K138&gt;(E528*100),1.21,IF(Design!K138&gt;(E528*10),1.1,1)))))*Design!K138*CHOOSE((Design!D138+1),0,0,0,0,0,0,0.3,0.6,1,1,1,1,1,1,1,1,1,1,1,1,1,1)</f>
        <v>0</v>
      </c>
    </row>
    <row r="529" spans="4:12" ht="12.75">
      <c r="D529" t="s">
        <v>1492</v>
      </c>
      <c r="E529">
        <f>CHOOSE((Design!D140+1),0,0,0,0,0,0,30,20,10,10,10,10,10,10,10,10,10,10,10,10,10,10)</f>
        <v>10</v>
      </c>
      <c r="F529">
        <f>IF(Design!F140=0,0,Design!F140/CHOOSE((Design!D140+1),0,0,0,0,0,0,0.3,0.6,1,1,1,1,1,1,1,1,1,1,1,1,1,1))</f>
        <v>0</v>
      </c>
      <c r="G529">
        <f>F529/1.1</f>
        <v>0</v>
      </c>
      <c r="H529">
        <f>F529/1.21</f>
        <v>0</v>
      </c>
      <c r="I529">
        <f>F529/1.33</f>
        <v>0</v>
      </c>
      <c r="J529">
        <f>F529/1.46</f>
        <v>0</v>
      </c>
      <c r="K529">
        <f>F529/1.61</f>
        <v>0</v>
      </c>
      <c r="L529">
        <f>IF(Design!K140&gt;(E529*100000),1.61,IF(Design!K140&gt;(E529*10000),1.46,IF(Design!K140&gt;(E529*1000),1.33,IF(Design!K140&gt;(E529*100),1.21,IF(Design!K140&gt;(E529*10),1.1,1)))))*Design!K140*CHOOSE((Design!D140+1),0,0,0,0,0,0,0.3,0.6,1,1,1,1,1,1,1,1,1,1,1,1,1,1)</f>
        <v>0</v>
      </c>
    </row>
    <row r="530" spans="4:12" ht="12.75">
      <c r="D530" t="s">
        <v>1423</v>
      </c>
      <c r="E530">
        <f>CHOOSE((Design!D141+1),0,0,0,0,0,0,0,0,0,1000,500,200,10,1,0.25,0.075,0.075,0.075,0.075,0.075,0.075,0.075,0.075)</f>
        <v>10</v>
      </c>
      <c r="F530">
        <f>IF(Design!F141=0,0,Design!F141/CHOOSE((Design!D141+1),0,0,0,0,0,0,0,0,0,2,2,2,2,3,3,6,7,7,7,7,7,7))</f>
        <v>30</v>
      </c>
      <c r="G530">
        <f>F530/1.1</f>
        <v>27.27272727272727</v>
      </c>
      <c r="H530">
        <f>F530/1.21</f>
        <v>24.793388429752067</v>
      </c>
      <c r="I530">
        <f>F530/1.33</f>
        <v>22.55639097744361</v>
      </c>
      <c r="J530">
        <f>F530/1.46</f>
        <v>20.547945205479454</v>
      </c>
      <c r="K530">
        <f>F530/1.61</f>
        <v>18.633540372670808</v>
      </c>
      <c r="L530">
        <f>IF(Design!K141&gt;(E530*100000),1.61,IF(Design!K141&gt;(E530*10000),1.46,IF(Design!K141&gt;(E530*1000),1.33,IF(Design!K141&gt;(E530*100),1.21,IF(Design!K141&gt;(E530*10),1.1,1)))))*Design!K141*CHOOSE((Design!D141+1),0,0,0,0,0,0,0,0,0,2,2,2,2,3,3,6,7,7,7,7,7,7)</f>
        <v>60</v>
      </c>
    </row>
    <row r="531" spans="4:12" ht="12.75">
      <c r="D531" t="s">
        <v>1493</v>
      </c>
      <c r="E531">
        <f>CHOOSE((Design!D143+1),0,0,0,0,0,0,0,0,0,1000,500,200,10,1,0.25,0.075,0.075,0.075,0.075,0.075,0.075,0.075,0.075)</f>
        <v>10</v>
      </c>
      <c r="F531">
        <f>IF(Design!F143=0,0,Design!F143/CHOOSE((Design!D143+1),0,0,0,0,0,0,0,0,0,2,2,2,2,3,3,6,7,7,7,7,7,7))</f>
        <v>0</v>
      </c>
      <c r="G531">
        <f>F531/1.1</f>
        <v>0</v>
      </c>
      <c r="H531">
        <f>F531/1.21</f>
        <v>0</v>
      </c>
      <c r="I531">
        <f>F531/1.33</f>
        <v>0</v>
      </c>
      <c r="J531">
        <f>F531/1.46</f>
        <v>0</v>
      </c>
      <c r="K531">
        <f>F531/1.61</f>
        <v>0</v>
      </c>
      <c r="L531">
        <f>IF(Design!K143&gt;(E531*100000),1.61,IF(Design!K143&gt;(E531*10000),1.46,IF(Design!K143&gt;(E531*1000),1.33,IF(Design!K143&gt;(E531*100),1.21,IF(Design!K143&gt;(E531*10),1.1,1)))))*Design!K143*CHOOSE((Design!D143+1),0,0,0,0,0,0,0,0,0,2,2,2,2,3,3,6,7,7,7,7,7,7)</f>
        <v>0</v>
      </c>
    </row>
    <row r="532" spans="4:12" ht="12.75">
      <c r="D532" t="s">
        <v>1424</v>
      </c>
      <c r="L532">
        <f>Design!K144*CHOOSE((Design!D144+1),0,0,0,0,0,0,0,0,0,0,3,3.8,4.8,6,7.7,9.8,9.8,9.8,9.8,9.8,9.8,9.8)</f>
        <v>0</v>
      </c>
    </row>
    <row r="533" spans="4:12" ht="12.75">
      <c r="D533" t="s">
        <v>1494</v>
      </c>
      <c r="L533">
        <f>Design!K146*CHOOSE((Design!D146+1),0,0,0,0,0,0,0,0,0,0,3,3.8,4.8,6,7.7,9.8,9.8,9.8,9.8,9.8,9.8,9.8)</f>
        <v>0</v>
      </c>
    </row>
    <row r="534" spans="4:12" ht="12.75">
      <c r="D534" t="s">
        <v>1425</v>
      </c>
      <c r="E534">
        <v>0.01</v>
      </c>
      <c r="F534">
        <f>IF(Design!F147=0,0,Design!F147/CHOOSE((Design!D147+1),0,0,0,0,0,0,0,0.5,0.5,0.5,0.5,0.5,0.75,0.75,1.5,1.5,1.75,1.75,1.75,1.75,1.75,1.75))</f>
        <v>0</v>
      </c>
      <c r="G534">
        <f>F534/1.1</f>
        <v>0</v>
      </c>
      <c r="H534">
        <f>F534/1.21</f>
        <v>0</v>
      </c>
      <c r="I534">
        <f>F534/1.33</f>
        <v>0</v>
      </c>
      <c r="J534">
        <f>F534/1.46</f>
        <v>0</v>
      </c>
      <c r="K534">
        <f>F534/1.61</f>
        <v>0</v>
      </c>
      <c r="L534">
        <f>IF(Design!K147&gt;(E534*100000),1.61,IF(Design!K147&gt;(E534*10000),1.46,IF(Design!K147&gt;(E534*1000),1.33,IF(Design!K147&gt;(E534*100),1.21,IF(Design!K147&gt;(E534*10),1.1,1)))))*Design!K147*CHOOSE((Design!D147+1),0,0,0,0,0,0,0,0.5,0.5,0.5,0.5,0.5,0.75,0.75,1.5,1.5,1.75,1.75,1.75,1.75,1.75,1.75)</f>
        <v>0</v>
      </c>
    </row>
    <row r="535" spans="4:12" ht="12.75">
      <c r="D535" t="s">
        <v>1495</v>
      </c>
      <c r="E535">
        <v>0.01</v>
      </c>
      <c r="F535">
        <f>IF(Design!F149=0,0,Design!F149/CHOOSE((Design!D149+1),0,0,0,0,0,0,0,0.5,0.5,0.5,0.5,0.5,0.75,0.75,1.5,1.5,1.75,1.75,1.75,1.75,1.75,1.75))</f>
        <v>0</v>
      </c>
      <c r="G535">
        <f>F535/1.1</f>
        <v>0</v>
      </c>
      <c r="H535">
        <f>F535/1.21</f>
        <v>0</v>
      </c>
      <c r="I535">
        <f>F535/1.33</f>
        <v>0</v>
      </c>
      <c r="J535">
        <f>F535/1.46</f>
        <v>0</v>
      </c>
      <c r="K535">
        <f>F535/1.61</f>
        <v>0</v>
      </c>
      <c r="L535">
        <f>IF(Design!K149&gt;(E535*100000),1.61,IF(Design!K149&gt;(E535*10000),1.46,IF(Design!K149&gt;(E535*1000),1.33,IF(Design!K149&gt;(E535*100),1.21,IF(Design!K149&gt;(E535*10),1.1,1)))))*Design!K149*CHOOSE((Design!D149+1),0,0,0,0,0,0,0,0.5,0.5,0.5,0.5,0.5,0.75,0.75,1.5,1.5,1.75,1.75,1.75,1.75,1.75,1.75)</f>
        <v>0</v>
      </c>
    </row>
    <row r="536" spans="4:12" ht="12.75">
      <c r="D536" t="s">
        <v>1426</v>
      </c>
      <c r="E536">
        <f>CHOOSE((Design!D150+1),0,0,0,0,0,0,0,0,0,0,0,0,0,0,0,0,0,8,1,0.25,0.1,0.02)</f>
        <v>0</v>
      </c>
      <c r="F536">
        <f>IF(Design!F150=0,0,Design!F150/CHOOSE((Design!D150+1),0,0,0,0,0,0,0,0,0,0,0,0,0,0,0,0,0,50,100,250,500,1000))</f>
        <v>0</v>
      </c>
      <c r="G536">
        <f>F536/1.1</f>
        <v>0</v>
      </c>
      <c r="H536">
        <f>F536/1.21</f>
        <v>0</v>
      </c>
      <c r="I536">
        <f>F536/1.33</f>
        <v>0</v>
      </c>
      <c r="J536">
        <f>F536/1.46</f>
        <v>0</v>
      </c>
      <c r="K536">
        <f>F536/1.61</f>
        <v>0</v>
      </c>
      <c r="L536">
        <f>IF(Design!K150&gt;(E536*100000),1.61,IF(Design!K150&gt;(E536*10000),1.46,IF(Design!K150&gt;(E536*1000),1.33,IF(Design!K150&gt;(E536*100),1.21,IF(Design!K150&gt;(E536*10),1.1,1)))))*Design!K150*CHOOSE((Design!D150+1),0,0,0,0,0,0,0,0,0,0,0,0,0,0,0,0,0,50,100,250,500,1000)</f>
        <v>0</v>
      </c>
    </row>
    <row r="537" spans="4:12" ht="12.75">
      <c r="D537" t="s">
        <v>1496</v>
      </c>
      <c r="E537">
        <f>CHOOSE((Design!D152+1),0,0,0,0,0,0,0,0,0,0,0,0,0,0,0,0,0,8,1,0.25,0.1,0.02)</f>
        <v>0</v>
      </c>
      <c r="F537">
        <f>IF(Design!F152=0,0,Design!F152/CHOOSE((Design!D152+1),0,0,0,0,0,0,0,0,0,0,0,0,0,0,0,0,0,50,100,250,500,1000))</f>
        <v>0</v>
      </c>
      <c r="G537">
        <f>F537/1.1</f>
        <v>0</v>
      </c>
      <c r="H537">
        <f>F537/1.21</f>
        <v>0</v>
      </c>
      <c r="I537">
        <f>F537/1.33</f>
        <v>0</v>
      </c>
      <c r="J537">
        <f>F537/1.46</f>
        <v>0</v>
      </c>
      <c r="K537">
        <f>F537/1.61</f>
        <v>0</v>
      </c>
      <c r="L537">
        <f>IF(Design!K152&gt;(E537*100000),1.61,IF(Design!K152&gt;(E537*10000),1.46,IF(Design!K152&gt;(E537*1000),1.33,IF(Design!K152&gt;(E537*100),1.21,IF(Design!K152&gt;(E537*10),1.1,1)))))*Design!K152*CHOOSE((Design!D152+1),0,0,0,0,0,0,0,0,0,0,0,0,0,0,0,0,0,50,100,250,500,1000)</f>
        <v>0</v>
      </c>
    </row>
    <row r="539" ht="12.75">
      <c r="D539" s="278" t="s">
        <v>1497</v>
      </c>
    </row>
    <row r="540" spans="4:5" ht="12.75">
      <c r="D540">
        <v>0</v>
      </c>
      <c r="E540">
        <v>-2.5</v>
      </c>
    </row>
    <row r="541" spans="4:5" ht="12.75">
      <c r="D541">
        <v>0.01</v>
      </c>
      <c r="E541">
        <v>-2</v>
      </c>
    </row>
    <row r="542" spans="4:5" ht="12.75">
      <c r="D542">
        <v>0.1</v>
      </c>
      <c r="E542">
        <v>-1.5</v>
      </c>
    </row>
    <row r="543" spans="4:5" ht="12.75">
      <c r="D543">
        <v>1</v>
      </c>
      <c r="E543">
        <v>-1</v>
      </c>
    </row>
    <row r="544" spans="4:5" ht="12.75">
      <c r="D544">
        <v>10</v>
      </c>
      <c r="E544">
        <v>-0.5</v>
      </c>
    </row>
    <row r="545" spans="4:5" ht="12.75">
      <c r="D545">
        <v>100</v>
      </c>
      <c r="E545">
        <v>0</v>
      </c>
    </row>
    <row r="546" spans="4:5" ht="12.75">
      <c r="D546">
        <v>1000</v>
      </c>
      <c r="E546">
        <v>0.5</v>
      </c>
    </row>
    <row r="547" spans="4:5" ht="12.75">
      <c r="D547">
        <v>10000</v>
      </c>
      <c r="E547">
        <v>1</v>
      </c>
    </row>
    <row r="548" spans="4:5" ht="12.75">
      <c r="D548">
        <v>100000</v>
      </c>
      <c r="E548">
        <v>1.5</v>
      </c>
    </row>
    <row r="549" spans="4:5" ht="12.75">
      <c r="D549">
        <v>1000000</v>
      </c>
      <c r="E549">
        <v>2</v>
      </c>
    </row>
    <row r="551" ht="12.75">
      <c r="D551" s="14" t="s">
        <v>1498</v>
      </c>
    </row>
    <row r="552" spans="4:5" ht="12.75">
      <c r="D552" t="s">
        <v>1499</v>
      </c>
      <c r="E552" s="293">
        <f>SUM(Design!N138:N153)</f>
        <v>60</v>
      </c>
    </row>
    <row r="553" spans="4:5" ht="12.75">
      <c r="D553" t="s">
        <v>1500</v>
      </c>
      <c r="E553" s="306">
        <f>MAX(0,ROUND(E552-SUM(Design!N50:N63)-SUM(Design!N65:N79)-SUM(Design!N122:N126),0))</f>
        <v>60</v>
      </c>
    </row>
    <row r="554" spans="4:5" ht="12.75">
      <c r="D554" t="s">
        <v>1501</v>
      </c>
      <c r="E554" s="293">
        <f>MIN(E552,MAX(ROUND($E$552*0.1,0),SUM(Design!N84:N90)+SUM(Design!N173:N184)+SUM(Design!N238:N241)+SUM(Design!N245:N256)))</f>
        <v>6</v>
      </c>
    </row>
    <row r="555" spans="4:5" ht="12.75">
      <c r="D555" t="s">
        <v>1502</v>
      </c>
      <c r="E555">
        <f>CHOOSE((Design!F25+1),1,0,0,-0.5,-1)+IF($F$4&gt;=1000000,1,IF($F$4&gt;=100000,0.5,IF($F$4&gt;=10000,0,IF($F$4&gt;=1000,-0.5,IF($F$4&gt;=100,-1,IF($F$4&gt;=10,-1.5,-2))))))</f>
        <v>-1</v>
      </c>
    </row>
    <row r="556" spans="4:5" ht="12.75">
      <c r="D556" t="s">
        <v>1503</v>
      </c>
      <c r="E556">
        <f>VLOOKUP($E$552,D540:E549,2)+CHOOSE((Design!F$155+1),0,-0.5,-1,-1.5)</f>
        <v>-0.5</v>
      </c>
    </row>
    <row r="557" spans="4:5" ht="12.75">
      <c r="D557" t="s">
        <v>1504</v>
      </c>
      <c r="E557">
        <f>VLOOKUP($E$553,D540:E549,2)+CHOOSE((Design!F$155+1),0,-0.5,-1,-1.5)</f>
        <v>-0.5</v>
      </c>
    </row>
    <row r="558" spans="4:5" ht="12.75">
      <c r="D558" t="s">
        <v>1505</v>
      </c>
      <c r="E558">
        <f>VLOOKUP($E$554,D540:E549,2)+CHOOSE((Design!F$155+1),0,-0.5,-1,-1.5)</f>
        <v>-1</v>
      </c>
    </row>
    <row r="559" spans="4:5" ht="12.75">
      <c r="D559" t="s">
        <v>1506</v>
      </c>
      <c r="E559">
        <f>IF($F$4&gt;=10000000,2,IF($F$4&gt;=100000,1,IF($F$4&gt;=1000,0.5,IF($F$4&gt;=10,0,-0.5))))-IF(Design!F18&gt;0,Design!F24*0.5,0)</f>
        <v>0</v>
      </c>
    </row>
    <row r="560" spans="4:6" ht="12.75">
      <c r="D560" t="s">
        <v>1507</v>
      </c>
      <c r="E560">
        <f>VLOOKUP(F560,D540:E549,2)+IF(Design!F156&gt;0,-1,0)</f>
        <v>-0.5</v>
      </c>
      <c r="F560">
        <f>(Design!N138+Design!N141+Design!N144)</f>
        <v>60</v>
      </c>
    </row>
    <row r="561" spans="4:6" ht="12.75">
      <c r="D561" t="s">
        <v>1508</v>
      </c>
      <c r="E561">
        <f>IF(F561&lt;=10,-2,IF(F561&lt;=100,-1.5,IF(F561&lt;=1000,-1,IF(F561&lt;=10000,-0.5,IF(F561&lt;=100000,0,IF(F561&lt;=1000000,0.5,IF(F561&lt;=10000000,1,IF(F561&lt;=100000000,1.5,2))))))))</f>
        <v>0</v>
      </c>
      <c r="F561">
        <f>K18*Design!E40</f>
        <v>14000</v>
      </c>
    </row>
    <row r="562" spans="4:5" ht="12.75">
      <c r="D562" t="s">
        <v>1509</v>
      </c>
      <c r="E562">
        <f>ROUND((E559/2)*2,0)/2</f>
        <v>0</v>
      </c>
    </row>
    <row r="563" spans="4:5" ht="12.75">
      <c r="D563" t="s">
        <v>1510</v>
      </c>
      <c r="E563" s="293">
        <f>IF(Design!N138=0,"",CONCATENATE("/Fis:",ROUND(Design!N138,2),"MW,",ROUND(Design!F139,1),"yr "))</f>
      </c>
    </row>
    <row r="564" spans="4:5" ht="12.75">
      <c r="D564" t="s">
        <v>1511</v>
      </c>
      <c r="E564" s="293" t="str">
        <f>IF(Design!N141=0,"",CONCATENATE("/Fus:",ROUND(Design!N141,2),"MW,",ROUND(Design!F142,1),"yr "))</f>
        <v>/Fus:60MW,0yr </v>
      </c>
    </row>
    <row r="565" spans="4:5" ht="12.75">
      <c r="D565" t="s">
        <v>1512</v>
      </c>
      <c r="E565" s="293">
        <f>IF(Design!N144=0,"",CONCATENATE("/Fis+:",ROUND(Design!N144,2),"MW,",ROUND(Design!F145,1),"hr "))</f>
      </c>
    </row>
    <row r="566" spans="4:5" ht="12.75">
      <c r="D566" t="s">
        <v>1513</v>
      </c>
      <c r="E566" s="293">
        <f>IF(Design!N147=0,"",CONCATENATE("/FCell:",ROUND(Design!N147,2),"MW,",ROUND(Design!F148,1),"hr "))</f>
      </c>
    </row>
    <row r="567" spans="4:5" ht="12.75">
      <c r="D567" t="s">
        <v>1514</v>
      </c>
      <c r="E567" s="293">
        <f>IF(Design!N150=0,"",CONCATENATE("/AntiM:",ROUND(Design!N150,2),"MW,",ROUND(Design!F151,1),"yr "))</f>
      </c>
    </row>
    <row r="568" spans="4:5" ht="12.75">
      <c r="D568" t="s">
        <v>1515</v>
      </c>
      <c r="E568" s="293">
        <f>IF(Design!N153=0,"",CONCATENATE("/PCell:",ROUND(Design!N153,2),"MW "))</f>
      </c>
    </row>
    <row r="570" spans="4:5" ht="12.75">
      <c r="D570" t="s">
        <v>1516</v>
      </c>
      <c r="E570">
        <f>IF(Design!E36=0,"",CONCATENATE(ROUND(Design!E36,0),"x",Design!J36,". "))</f>
      </c>
    </row>
    <row r="571" spans="4:5" ht="12.75">
      <c r="D571" t="s">
        <v>1517</v>
      </c>
      <c r="E571">
        <f>IF(Design!E39=0,"",CONCATENATE(ROUND(Design!E39,0),"xHEPlaR ",Design!J39,". "))</f>
      </c>
    </row>
    <row r="572" spans="4:5" ht="12.75">
      <c r="D572" t="s">
        <v>1518</v>
      </c>
      <c r="E572">
        <f>IF(Design!E41=0,"",CONCATENATE(ROUND(Design!E41,0),"xThruster ",Design!J41,". "))</f>
      </c>
    </row>
    <row r="573" spans="4:5" ht="12.75">
      <c r="D573" t="s">
        <v>1519</v>
      </c>
      <c r="E573">
        <f>IF(Design!E43=0,"",CONCATENATE(ROUND(Design!E43,0),"xContraGrav ",Design!J43,". "))</f>
      </c>
    </row>
    <row r="574" spans="4:5" ht="12.75">
      <c r="D574" t="s">
        <v>1520</v>
      </c>
      <c r="E574">
        <f>IF(Design!E47=0,"",CONCATENATE(ROUND(Design!E47,0),"x",Design!J47,". "))</f>
      </c>
    </row>
    <row r="575" spans="4:5" ht="12.75">
      <c r="D575" t="s">
        <v>955</v>
      </c>
      <c r="E575">
        <f>IF(Design!E67=0,"",CONCATENATE(ROUND(Design!E67,0),"xESA generator (/AV:",ROUND(Design!F67,0),"). "))</f>
      </c>
    </row>
    <row r="576" spans="4:5" ht="12.75">
      <c r="D576" t="s">
        <v>957</v>
      </c>
      <c r="E576">
        <f>IF(Design!E70=0,"",CONCATENATE(ROUND(Design!E70,0),"xForce Field (/Flicker:",ROUND(Design!F70*10,0),"). "))</f>
      </c>
    </row>
    <row r="577" spans="4:5" ht="12.75">
      <c r="D577" t="s">
        <v>1521</v>
      </c>
      <c r="E577">
        <f>IF(Design!E72=0,"",CONCATENATE(ROUND(Design!E72,0),"xMeson Screen (/PV:",ROUND(Design!F72,0),"). "))</f>
      </c>
    </row>
    <row r="578" spans="4:5" ht="12.75">
      <c r="D578" t="s">
        <v>1522</v>
      </c>
      <c r="E578">
        <f>IF(Design!E76=0,"",CONCATENATE(ROUND(Design!E76,0),"xDamper Screen (/PV:",ROUND(Design!F76,0),"). "))</f>
      </c>
    </row>
    <row r="579" spans="4:5" ht="12.75">
      <c r="D579" t="s">
        <v>976</v>
      </c>
      <c r="E579">
        <f>IF(Design!E94=0,"",CONCATENATE(ROUND(Design!E94,0),"x",CHOOSE((Design!G94+1),"Radio Rec. (","Dir Radio Rec. (","TB Radio Rec. ("),CHOOSE((Design!F94+1),"5km","50km","500km","5,000km","50,000km","500,000km","1,000AU"),", ",ROUND(Design!N94/Design!E94,2),"MW). "))</f>
      </c>
    </row>
    <row r="580" spans="4:5" ht="12.75">
      <c r="D580" t="s">
        <v>977</v>
      </c>
      <c r="E580">
        <f>IF(Design!E95=0,"",CONCATENATE(ROUND(Design!E95,0),"x",CHOOSE((Design!G95+1),"Radio Rec. (","Dir Radio Rec. (","TB Radio Rec. ("),CHOOSE((((Design!F95+1)-1)+1),"5km","50km","500km","5,000km","50,000km","500,000km","1,000AU"),"). "))</f>
      </c>
    </row>
    <row r="581" spans="4:5" ht="12.75">
      <c r="D581" t="s">
        <v>978</v>
      </c>
      <c r="E581" t="str">
        <f>IF(Design!E96=0,"",CONCATENATE(ROUND(Design!E96,0),"x",CHOOSE((((Design!G96+1)-1)+1),"Radio (","Dir Radio (","TB Radio ("),CHOOSE((Design!F96+1),"5km","50km","500km","5,000km","50,000km","500,000km","1,000AU"),", ",ROUND(Design!N96/Design!E96,2),"MW). "))</f>
        <v>1xRadio (500,000km, 0.17MW). </v>
      </c>
    </row>
    <row r="582" spans="4:5" ht="12.75">
      <c r="D582" t="s">
        <v>979</v>
      </c>
      <c r="E582">
        <f>IF(Design!E97=0,"",CONCATENATE(ROUND(Design!E97,0),"x",CHOOSE((Design!G97+1),"Radio (","Dir Radio (","TB Radio ("),CHOOSE((Design!F97+1),"5km","50km","500km","5,000km","50,000km","500,000km","1,000AU"),"). "))</f>
      </c>
    </row>
    <row r="583" spans="4:5" ht="12.75">
      <c r="D583" t="s">
        <v>980</v>
      </c>
      <c r="E583" t="str">
        <f>IF(Design!E98=0,"",CONCATENATE(ROUND(Design!E98,0),"x","Laser (",CHOOSE((Design!F98+1),"5km","50km","500km","5,000km","50,000km","500,000km","1,000AU"),", ",ROUND(Design!N98/Design!E98,2),"MW). "))</f>
        <v>1xLaser (1,000AU, 0MW). </v>
      </c>
    </row>
    <row r="584" spans="4:5" ht="12.75">
      <c r="D584" t="s">
        <v>981</v>
      </c>
      <c r="E584">
        <f>IF(Design!E99=0,"",CONCATENATE(ROUND(Design!E99,0),"x","Laser (",CHOOSE((Design!F99+1),"5km","50km","500km","5,000km","50,000km","500,000km","1,000AU"),"). "))</f>
      </c>
    </row>
    <row r="585" spans="4:5" ht="12.75">
      <c r="D585" t="s">
        <v>982</v>
      </c>
      <c r="E585">
        <f>IF(Design!E100=0,"",CONCATENATE(ROUND(Design!E100,0),"x","Meson (",CHOOSE((Design!F100+1),"500km","5,000km","50,000km","500,000km","1,000AU"),", ",ROUND(Design!N100/Design!E100,2),"MW). "))</f>
      </c>
    </row>
    <row r="586" spans="4:5" ht="12.75">
      <c r="D586" t="s">
        <v>983</v>
      </c>
      <c r="E586">
        <f>IF(Design!E101=0,"",CONCATENATE(ROUND(Design!E101,0),"x","Meson (",CHOOSE((Design!F101+1),"500km","5,000km","50,000km","500,000km","1,000AU"),"). "))</f>
      </c>
    </row>
    <row r="587" spans="4:5" ht="12.75">
      <c r="D587" t="s">
        <v>985</v>
      </c>
      <c r="E587">
        <f>IF(Design!E104=0,"",CONCATENATE(ROUND(Design!E104,0),"x",IF(Design!G104&gt;0,"Sci ",""),IF(Design!H104&gt;0,"Fld ",""),"Pas. Scanner (",Design!J104,", ",ROUND(Design!N104/Design!E104,2),"MW). "))</f>
      </c>
    </row>
    <row r="588" spans="4:5" ht="12.75">
      <c r="D588" t="s">
        <v>986</v>
      </c>
      <c r="E588">
        <f>IF(Design!E105=0,"",CONCATENATE(ROUND(Design!E105,0),"x",IF(Design!G105&gt;0,"Sci ",""),IF(Design!H105&gt;0,"Fld ",""),"Pas. Scanner (",Design!J105,"). "))</f>
      </c>
    </row>
    <row r="589" spans="4:5" ht="12.75">
      <c r="D589" t="s">
        <v>987</v>
      </c>
      <c r="E589">
        <f>IF(Design!E106=0,"",CONCATENATE(ROUND(Design!E106,0),"x",IF(Design!G106&gt;0,"Sci ",""),IF(Design!H106&gt;0,"Fld ",""),"Pas. Tracker (",Design!J106,", ",ROUND(Design!N106/Design!E106,2),"MW). "))</f>
      </c>
    </row>
    <row r="590" spans="4:5" ht="12.75">
      <c r="D590" t="s">
        <v>988</v>
      </c>
      <c r="E590">
        <f>IF(Design!E107=0,"",CONCATENATE(ROUND(Design!E107,0),"x",IF(Design!G107&gt;0,"Sci ",""),IF(Design!H107&gt;0,"Fld ",""),"Pas. Tracker (",Design!J107,"). "))</f>
      </c>
    </row>
    <row r="591" spans="4:5" ht="12.75">
      <c r="D591" t="s">
        <v>989</v>
      </c>
      <c r="E591" t="str">
        <f>IF(Design!E108=0,"",CONCATENATE(ROUND(Design!E108,0),"x",IF(Design!G108&gt;0,"Sci ",""),IF(Design!H108&gt;0,"Fld ",""),"PEMS (",Design!J108,", ",ROUND(Design!N108/Design!E108,2),"MW). "))</f>
        <v>1xPEMS (12.5 [1.6mkm], 0MW). </v>
      </c>
    </row>
    <row r="592" spans="4:5" ht="12.75">
      <c r="D592" t="s">
        <v>990</v>
      </c>
      <c r="E592">
        <f>IF(Design!E109=0,"",CONCATENATE(ROUND(Design!E109,0),"x",IF(Design!G109&gt;0,"Sci ",""),IF(Design!H109&gt;0,"Fld ",""),"PEMS (",Design!J109,"). "))</f>
      </c>
    </row>
    <row r="593" spans="4:5" ht="12.75">
      <c r="D593" t="s">
        <v>991</v>
      </c>
      <c r="E593" t="str">
        <f>IF(Design!E110=0,"",CONCATENATE(ROUND(Design!E110,0),"x",IF(Design!G110&gt;0,"Sci ",""),IF(Design!H110&gt;0,"Fld ",""),"AEMS (",Design!J110,", ",ROUND(Design!N110/Design!E110,2),"MW). "))</f>
        <v>1xAEMS (8, 0.03MW). </v>
      </c>
    </row>
    <row r="594" spans="4:5" ht="12.75">
      <c r="D594" t="s">
        <v>992</v>
      </c>
      <c r="E594">
        <f>IF(Design!E111=0,"",CONCATENATE(ROUND(Design!E111,0),"x",IF(Design!G111&gt;0,"Sci ",""),IF(Design!H111&gt;0,"Fld ",""),"AEMS (",Design!J111,"). "))</f>
      </c>
    </row>
    <row r="595" spans="4:5" ht="12.75">
      <c r="D595" t="s">
        <v>847</v>
      </c>
      <c r="E595">
        <f>IF(Design!E112=0,"",CONCATENATE(ROUND(Design!E112,0),"x",IF(Design!G112&gt;0,"Sci ",""),IF(Design!H112&gt;0,"Fld ",""),"LIDAR (",Design!J112,", ",ROUND(Design!N112/Design!E112,2),"MW). "))</f>
      </c>
    </row>
    <row r="596" spans="4:5" ht="12.75">
      <c r="D596" t="s">
        <v>993</v>
      </c>
      <c r="E596">
        <f>IF(Design!E113=0,"",CONCATENATE(ROUND(Design!E113,0),"x",IF(Design!G113&gt;0,"Sci ",""),IF(Design!H113&gt;0,"Fld ",""),"LIDAR (",Design!J113,"). "))</f>
      </c>
    </row>
    <row r="597" spans="4:5" ht="12.75">
      <c r="D597" t="s">
        <v>852</v>
      </c>
      <c r="E597">
        <f>IF(Design!E114=0,"",CONCATENATE(ROUND(Design!E114,0),"xDensiometer (",Design!J114,"). "))</f>
      </c>
    </row>
    <row r="598" spans="4:5" ht="12.75">
      <c r="D598" t="s">
        <v>994</v>
      </c>
      <c r="E598">
        <f>IF(Design!E115=0,"",CONCATENATE(ROUND(Design!E115,0),"xDensiometer (",Design!J115,", ",ROUND(Design!N115/Design!E115,2),"MW). "))</f>
      </c>
    </row>
    <row r="599" spans="4:5" ht="12.75">
      <c r="D599" t="s">
        <v>995</v>
      </c>
      <c r="E599">
        <f>IF(Design!E116=0,"",CONCATENATE(ROUND(Design!E116,0),"xNeutrino (",Design!J116,", ",ROUND(Design!N116/Design!E116,2),"MW). "))</f>
      </c>
    </row>
    <row r="600" spans="4:5" ht="12.75">
      <c r="D600" t="s">
        <v>996</v>
      </c>
      <c r="E600">
        <f>IF(Design!E117=0,"",CONCATENATE(ROUND(Design!E117,0),"xNeutrino (",Design!J117,", ). "))</f>
      </c>
    </row>
    <row r="601" spans="4:5" ht="12.75">
      <c r="D601" t="s">
        <v>997</v>
      </c>
      <c r="E601">
        <f>IF(Design!E118=0,"",CONCATENATE(ROUND(Design!E118,0),"xNAS (",Design!J118,", ",ROUND(Design!N118/Design!E118,2),"MW). "))</f>
      </c>
    </row>
    <row r="602" spans="4:5" ht="12.75">
      <c r="D602" t="s">
        <v>998</v>
      </c>
      <c r="E602">
        <f>IF(Design!E119=0,"",CONCATENATE(ROUND(Design!E119,0),"xNAS (",Design!J119,"). "))</f>
      </c>
    </row>
    <row r="603" spans="4:5" ht="12.75">
      <c r="D603" t="s">
        <v>1000</v>
      </c>
      <c r="E603">
        <f>IF(Design!E122=0,"",CONCATENATE(ROUND(Design!E122,0),"xRadio Jammer (",CHOOSE((Design!F122+1),"5km","50km","500km","5,000km","50,000km","500,000km","1,000AU"),", ",ROUND(Design!N122/Design!E122,2),"MW). "))</f>
      </c>
    </row>
    <row r="604" spans="4:5" ht="12.75">
      <c r="D604" t="s">
        <v>1001</v>
      </c>
      <c r="E604">
        <f>IF(Design!E123=0,"",CONCATENATE(ROUND(Design!E123,0),"xRadio Jammer (",CHOOSE((Design!F123+1),"5km","50km","500km","5,000km","50,000km","500,000km","1,000AU"),"). "))</f>
      </c>
    </row>
    <row r="605" spans="4:5" ht="12.75">
      <c r="D605" t="s">
        <v>1523</v>
      </c>
      <c r="E605">
        <f>IF(Design!E124=0,"",CONCATENATE(ROUND(Design!E124,0),"x",IF(Design!G124&gt;0,"Fld ",""),"Area. Jammer (",Design!J124,", ",ROUND(Design!N124/Design!E124,2),"MW). "))</f>
      </c>
    </row>
    <row r="606" spans="4:5" ht="12.75">
      <c r="D606" t="s">
        <v>1524</v>
      </c>
      <c r="E606">
        <f>IF(Design!E125=0,"",CONCATENATE(ROUND(Design!E125,0),"x",IF(Design!G125&gt;0,"Fld ",""),"Area. Jammer (",Design!J125,"). "))</f>
      </c>
    </row>
    <row r="607" spans="4:5" ht="12.75">
      <c r="D607" t="s">
        <v>1525</v>
      </c>
      <c r="E607">
        <f>IF(Design!E126=0,"",CONCATENATE(ROUND(Design!E126,0),"x",IF(Design!G126&gt;0,"Fld ",""),"Decp. Jammer (",Design!J126,", ",ROUND(Design!N126/Design!E126,2),"MW). "))</f>
      </c>
    </row>
    <row r="608" spans="4:5" ht="12.75">
      <c r="D608" t="s">
        <v>1526</v>
      </c>
      <c r="E608">
        <f>IF(Design!E127=0,"",CONCATENATE(ROUND(Design!E127,0),"x",IF(Design!G127&gt;0,"Fld ",""),"Decp. Jammer (",Design!J127,"). "))</f>
      </c>
    </row>
    <row r="609" spans="4:5" ht="12.75">
      <c r="D609" t="s">
        <v>1006</v>
      </c>
      <c r="E609">
        <f>IF(Design!E128=0,"",CONCATENATE(ROUND(Design!E128,0),"x",IF(Design!G128&gt;0,"Fld ",""),"Pas. Jammer (",Design!J128,", ",ROUND(Design!N128/Design!E128,2),"MW). "))</f>
      </c>
    </row>
    <row r="610" spans="4:5" ht="12.75">
      <c r="D610" t="s">
        <v>1007</v>
      </c>
      <c r="E610">
        <f>IF(Design!E129=0,"",CONCATENATE(ROUND(Design!E129,0),"x",IF(Design!G129&gt;0,"Fld ",""),"Pas. Jammer (",Design!J129,"). "))</f>
      </c>
    </row>
    <row r="611" spans="4:5" ht="12.75">
      <c r="D611" t="s">
        <v>1527</v>
      </c>
      <c r="E611">
        <f>IF(Design!E130=0,"",CONCATENATE(ROUND(Design!E130,0),"xDecoy Disp. (",ROUND(Design!E131,0)," units ea.)."))</f>
      </c>
    </row>
    <row r="612" spans="4:5" ht="12.75">
      <c r="D612" t="s">
        <v>1528</v>
      </c>
      <c r="E612">
        <f>IF(Design!E132=0,"",CONCATENATE(ROUND(Design!E132,0),"xAct. Decoy Disp. (",ROUND(Design!E133,0)," units ea.)."))</f>
      </c>
    </row>
    <row r="613" spans="4:5" ht="12.75">
      <c r="D613" t="s">
        <v>1529</v>
      </c>
      <c r="E613">
        <f>IF(Design!E134=0,"",CONCATENATE(ROUND(Design!E134,0),"xLIDAR. Decoy Disp. (",ROUND(Design!E135,0)," units ea.)."))</f>
      </c>
    </row>
    <row r="614" spans="4:5" ht="12.75">
      <c r="D614" t="s">
        <v>1012</v>
      </c>
      <c r="E614">
        <f>IF(Design!F140=0,"",CONCATENATE("Fission (",ROUND(L529,0),"MW). "))</f>
      </c>
    </row>
    <row r="615" spans="4:5" ht="12.75">
      <c r="D615" t="s">
        <v>1015</v>
      </c>
      <c r="E615">
        <f>IF(Design!F143=0,"",CONCATENATE("Fusion (",ROUND(L531,0),"MW). "))</f>
      </c>
    </row>
    <row r="616" spans="4:5" ht="12.75">
      <c r="D616" t="s">
        <v>1530</v>
      </c>
      <c r="E616">
        <f>IF(Design!F146=0,"",CONCATENATE("Fusion+ (",ROUND(L533,0),"MW). "))</f>
      </c>
    </row>
    <row r="617" spans="4:5" ht="12.75">
      <c r="D617" t="s">
        <v>1425</v>
      </c>
      <c r="E617">
        <f>IF(Design!F149=0,"",CONCATENATE("Fuel Cell (",ROUND(L535,0),"MW). "))</f>
      </c>
    </row>
    <row r="618" spans="4:5" ht="12.75">
      <c r="D618" t="s">
        <v>1426</v>
      </c>
      <c r="E618">
        <f>IF(Design!F152=0,"",CONCATENATE("Antimatter (",ROUND(L537,0),"MW). "))</f>
      </c>
    </row>
    <row r="619" spans="4:5" ht="12.75">
      <c r="D619" t="s">
        <v>1061</v>
      </c>
      <c r="E619">
        <f>IF(Design!E203=0,"",CONCATENATE("Purification Plant (",ROUND(K30,0),"hr). "))</f>
      </c>
    </row>
    <row r="620" spans="4:5" ht="12.75">
      <c r="D620" s="473"/>
      <c r="E620" s="473"/>
    </row>
    <row r="621" spans="4:5" ht="12.75">
      <c r="D621" s="474" t="s">
        <v>1531</v>
      </c>
      <c r="E621" s="473"/>
    </row>
    <row r="622" spans="4:5" ht="12.75">
      <c r="D622" s="473" t="s">
        <v>1236</v>
      </c>
      <c r="E622" s="542">
        <f>$F$3</f>
        <v>1400</v>
      </c>
    </row>
    <row r="623" spans="4:5" ht="12.75">
      <c r="D623" s="473" t="s">
        <v>1532</v>
      </c>
      <c r="E623" s="542">
        <f>K6</f>
        <v>444.18</v>
      </c>
    </row>
    <row r="624" spans="4:5" ht="12.75">
      <c r="D624" s="473" t="s">
        <v>1533</v>
      </c>
      <c r="E624" s="473">
        <f>IF(Design!F28&gt;0,Design!F30,Design!F23)</f>
        <v>29</v>
      </c>
    </row>
    <row r="625" spans="4:5" ht="12.75">
      <c r="D625" t="s">
        <v>1534</v>
      </c>
      <c r="E625" s="473">
        <f>IF(Design!E34=0,0,IF(L8=0,0,Design!N34/L8))</f>
        <v>0</v>
      </c>
    </row>
    <row r="626" spans="4:5" ht="12.75">
      <c r="D626" s="473" t="s">
        <v>1535</v>
      </c>
      <c r="E626" s="473">
        <f>IF(Design!E37=0,0,IF(L16=0,0,Design!N37/L16))</f>
        <v>0</v>
      </c>
    </row>
    <row r="627" spans="4:5" ht="12.75">
      <c r="D627" s="473" t="s">
        <v>1536</v>
      </c>
      <c r="E627" s="473">
        <f>IF(Design!E40=0,0,IF(L18=0,0,Design!N40/L18))</f>
        <v>11.29032258064516</v>
      </c>
    </row>
    <row r="628" spans="4:5" ht="12.75">
      <c r="D628" s="473" t="s">
        <v>1537</v>
      </c>
      <c r="E628" s="473">
        <f>MAX(1,E625,E626,E627)</f>
        <v>11.29032258064516</v>
      </c>
    </row>
    <row r="629" spans="4:5" ht="12.75">
      <c r="D629" s="473" t="s">
        <v>1538</v>
      </c>
      <c r="E629" s="473">
        <f>ROUND($E$552/E628,0)</f>
        <v>5</v>
      </c>
    </row>
    <row r="630" spans="4:5" ht="12.75">
      <c r="D630" s="473" t="s">
        <v>1539</v>
      </c>
      <c r="E630" s="473">
        <f>ROUND((L529+L531+L533+L535+L537)/E628,0)</f>
        <v>0</v>
      </c>
    </row>
    <row r="631" spans="4:5" ht="12.75">
      <c r="D631" s="473" t="s">
        <v>1540</v>
      </c>
      <c r="E631" s="473">
        <v>0</v>
      </c>
    </row>
    <row r="632" spans="4:5" ht="12.75">
      <c r="D632" s="473" t="s">
        <v>1541</v>
      </c>
      <c r="E632" s="473">
        <v>0</v>
      </c>
    </row>
    <row r="633" spans="4:5" ht="12.75">
      <c r="D633" t="s">
        <v>1542</v>
      </c>
      <c r="E633">
        <f>IF(Design!F28&gt;0,ROUND(F38,0),Design!F26)</f>
        <v>1</v>
      </c>
    </row>
    <row r="634" spans="4:5" ht="12.75">
      <c r="D634" t="s">
        <v>1543</v>
      </c>
      <c r="E634">
        <f>IF(Design!E230=0,0,IF(Design!F230=0,1,MAX(1,ROUND(Design!E230/Design!F230,0))))</f>
        <v>0</v>
      </c>
    </row>
    <row r="635" spans="4:6" ht="12.75">
      <c r="D635" t="s">
        <v>1544</v>
      </c>
      <c r="E635" t="str">
        <f>CHOOSE((MAX(Design!F106,Design!F108)+1),"12.5","13","13.5","14","14.5","15","15.5 ","16")</f>
        <v>12.5</v>
      </c>
      <c r="F635" s="473"/>
    </row>
    <row r="636" spans="4:6" ht="12.75">
      <c r="D636" t="s">
        <v>1545</v>
      </c>
      <c r="E636" t="str">
        <f>CHOOSE((MAX(Design!F107,Design!F109)+1),"12.5","13","13.5","14","14.5","15","15.5 ","16")</f>
        <v>12.5</v>
      </c>
      <c r="F636" s="473"/>
    </row>
    <row r="637" spans="4:6" ht="12.75">
      <c r="D637" t="s">
        <v>1546</v>
      </c>
      <c r="E637" t="str">
        <f>CHOOSE((Design!F110+1),"4","5","6","7","8","9","10","11","11.5","12","12.5","13","13.5","14","14.5")</f>
        <v>8</v>
      </c>
      <c r="F637" s="473"/>
    </row>
    <row r="638" spans="4:6" ht="12.75">
      <c r="D638" t="s">
        <v>1547</v>
      </c>
      <c r="E638" t="str">
        <f>CHOOSE((Design!F111+1),"4","5","6","7","8","9","10","11","11.5","12","12.5","13","13.5","14","14.5")</f>
        <v>4</v>
      </c>
      <c r="F638" s="473"/>
    </row>
    <row r="639" spans="4:6" ht="12.75">
      <c r="D639" t="s">
        <v>1548</v>
      </c>
      <c r="E639" t="str">
        <f>CHOOSE((Design!F112+1),"13.5","14","14.5","15","15.5")</f>
        <v>13.5</v>
      </c>
      <c r="F639" s="473"/>
    </row>
    <row r="640" spans="4:6" ht="12.75">
      <c r="D640" t="s">
        <v>1549</v>
      </c>
      <c r="E640" t="str">
        <f>CHOOSE((Design!F113+1),"13.5","14","14.5","15","15.5")</f>
        <v>13.5</v>
      </c>
      <c r="F640" s="473"/>
    </row>
    <row r="641" spans="4:6" ht="12.75">
      <c r="D641" s="473" t="s">
        <v>1550</v>
      </c>
      <c r="E641" s="473" t="str">
        <f>Design!J128</f>
        <v> </v>
      </c>
      <c r="F641" s="473"/>
    </row>
    <row r="642" spans="4:6" ht="12.75">
      <c r="D642" s="473" t="s">
        <v>1551</v>
      </c>
      <c r="E642" s="473" t="str">
        <f>Design!J126</f>
        <v> </v>
      </c>
      <c r="F642" s="473"/>
    </row>
    <row r="643" spans="4:6" ht="12.75">
      <c r="D643" s="473" t="s">
        <v>1552</v>
      </c>
      <c r="E643" s="473" t="str">
        <f>Design!J124</f>
        <v> </v>
      </c>
      <c r="F643" s="473"/>
    </row>
    <row r="644" spans="4:6" ht="12.75">
      <c r="D644" s="473" t="s">
        <v>1553</v>
      </c>
      <c r="E644" s="473">
        <f>IF(Design!E77=0,0,ROUND(Design!E77/Design!H77,0))</f>
        <v>0</v>
      </c>
      <c r="F644" s="473"/>
    </row>
    <row r="645" spans="4:6" ht="12.75">
      <c r="D645" t="s">
        <v>1554</v>
      </c>
      <c r="E645">
        <f>VLOOKUP(E644,$G$506:$U$516,(MAX(1,VLOOKUP(E622,$A$95:$B$109,2)-CHOOSE((Design!D77+1),0,0,0,0,0,0,0,0,0,0,0,0,0,1,1,2,2,2,2,2,2,2,2))+1))</f>
        <v>0</v>
      </c>
      <c r="F645" s="473"/>
    </row>
    <row r="646" spans="4:6" ht="12.75">
      <c r="D646" t="s">
        <v>1555</v>
      </c>
      <c r="E646">
        <f>VLOOKUP((E644*Design!F77),$A$112:$B$137,2)</f>
        <v>0</v>
      </c>
      <c r="F646" s="473"/>
    </row>
    <row r="647" spans="4:6" ht="12.75">
      <c r="D647" t="s">
        <v>1556</v>
      </c>
      <c r="E647">
        <f>IF(Design!E73=0,0,ROUND(Design!E73/Design!G73,0))</f>
        <v>0</v>
      </c>
      <c r="F647" s="473"/>
    </row>
    <row r="648" spans="4:6" ht="12.75">
      <c r="D648" t="s">
        <v>1557</v>
      </c>
      <c r="E648">
        <f>IF(E647=0,0,VLOOKUP(E647,$A$164:$B$172,2))</f>
        <v>0</v>
      </c>
      <c r="F648" s="473"/>
    </row>
    <row r="649" spans="4:6" ht="12.75">
      <c r="D649" t="s">
        <v>1558</v>
      </c>
      <c r="E649">
        <f>IF(Design!E71=0,0,VLOOKUP(Design!F71,$A$112:$B$137,2))</f>
        <v>0</v>
      </c>
      <c r="F649" s="473"/>
    </row>
    <row r="650" ht="12.75">
      <c r="F650" s="473"/>
    </row>
    <row r="651" ht="12.75">
      <c r="F651" s="473"/>
    </row>
    <row r="652" ht="12.75">
      <c r="F652" s="473"/>
    </row>
    <row r="653" ht="12.75">
      <c r="D653" s="278" t="s">
        <v>1559</v>
      </c>
    </row>
    <row r="654" spans="4:5" ht="12.75">
      <c r="D654" t="s">
        <v>1560</v>
      </c>
      <c r="E654">
        <f>Design!E221+Design!E222+Design!E223</f>
        <v>4</v>
      </c>
    </row>
    <row r="655" spans="4:5" ht="12.75">
      <c r="D655" t="s">
        <v>1561</v>
      </c>
      <c r="E655">
        <f>Design!E221+ROUND(Design!E222*0.8,0)+ROUND(Design!E223*0.8,0)</f>
        <v>4</v>
      </c>
    </row>
    <row r="656" spans="4:5" ht="12.75">
      <c r="D656" t="s">
        <v>1562</v>
      </c>
      <c r="E656">
        <f>Design!E221+ROUND(Design!E222*0.5,0)+ROUND(Design!E223*0.5,0)</f>
        <v>4</v>
      </c>
    </row>
    <row r="657" spans="4:5" ht="12.75">
      <c r="D657" t="s">
        <v>1563</v>
      </c>
      <c r="E657">
        <f>MAX(0,(Design!E191*Design!F191)+(Design!E196*Design!F196)-(Design!E222*Econ!F17)-(Design!E223*Econ!F19)-(Design!E224*Econ!F21)-IF(Design!D11=1,Econ!D17,0))</f>
        <v>0</v>
      </c>
    </row>
    <row r="658" spans="4:5" ht="12.75">
      <c r="D658" t="s">
        <v>1564</v>
      </c>
      <c r="E658">
        <f>MAX(0,ROUND(((Design!E191*Design!F191)+(Design!E196*Design!F196)-(ROUND(Design!E222*0.8,0)*Econ!F17)-(ROUND(Design!E223*0.8,0)*Econ!F19)-(ROUND(Design!E224*0.8,0)*Econ!F21)-IF(Design!D11=1,Econ!D17,0))*0.8,0))</f>
        <v>0</v>
      </c>
    </row>
    <row r="659" spans="4:5" ht="12.75">
      <c r="D659" t="s">
        <v>1565</v>
      </c>
      <c r="E659">
        <f>MAX(0,ROUND(((Design!E191*Design!F191)+(Design!E196*Design!F196)-(ROUND(Design!E222*0.5,0)*Econ!F17)-(ROUND(Design!E223*0.5,0)*Econ!F19)-(ROUND(Design!E224*0.5,0)*Econ!F21)-IF(Design!D11=1,Econ!D17,0))*0.5,0))</f>
        <v>0</v>
      </c>
    </row>
    <row r="660" spans="4:5" ht="12.75">
      <c r="D660" t="s">
        <v>1566</v>
      </c>
      <c r="E660">
        <f>ROUND(E657*Econ!D$15,0)</f>
        <v>0</v>
      </c>
    </row>
    <row r="661" spans="4:5" ht="12.75">
      <c r="D661" t="s">
        <v>1567</v>
      </c>
      <c r="E661">
        <f>ROUND(E658*Econ!D$15,0)</f>
        <v>0</v>
      </c>
    </row>
    <row r="662" spans="4:5" ht="12.75">
      <c r="D662" t="s">
        <v>1568</v>
      </c>
      <c r="E662">
        <f>ROUND(E659*Econ!D$15,0)</f>
        <v>0</v>
      </c>
    </row>
    <row r="664" ht="12.75">
      <c r="D664" s="278" t="s">
        <v>1569</v>
      </c>
    </row>
    <row r="665" spans="4:5" ht="12.75">
      <c r="D665" t="s">
        <v>1570</v>
      </c>
      <c r="E665">
        <f>Deckplans!F8^2</f>
        <v>2.25</v>
      </c>
    </row>
    <row r="666" spans="4:5" ht="12.75">
      <c r="D666" t="s">
        <v>1571</v>
      </c>
      <c r="E666">
        <f>E665*Deckplans!C8</f>
        <v>4.5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0.9921875" style="196" customWidth="1"/>
    <col min="3" max="3" width="1.57421875" style="196" customWidth="1"/>
    <col min="4" max="4" width="30.7109375" style="196" customWidth="1"/>
    <col min="5" max="5" width="18.7109375" style="196" customWidth="1"/>
    <col min="6" max="6" width="12.7109375" style="196" customWidth="1"/>
    <col min="7" max="7" width="30.7109375" style="196" customWidth="1"/>
    <col min="8" max="8" width="1.1484375" style="196" customWidth="1"/>
    <col min="9" max="16384" width="8.421875" style="196" customWidth="1"/>
  </cols>
  <sheetData>
    <row r="1" spans="1:8" ht="12.75">
      <c r="A1" s="201"/>
      <c r="B1" s="11" t="str">
        <f>CONCATENATE(Design!D4,", ",Design!D5," class ",Design!D6," (FF&amp;S v2)")</f>
        <v>name, class class type (FF&amp;S v2)</v>
      </c>
      <c r="C1" s="204"/>
      <c r="D1" s="204"/>
      <c r="E1" s="204"/>
      <c r="F1" s="204"/>
      <c r="G1" s="204"/>
      <c r="H1" s="213"/>
    </row>
    <row r="2" spans="1:8" ht="12.75">
      <c r="A2" s="202"/>
      <c r="B2" s="191" t="str">
        <f>CONCATENATE("Designed by ",Design!D7)</f>
        <v>Designed by architect</v>
      </c>
      <c r="C2" s="6"/>
      <c r="D2" s="6"/>
      <c r="E2" s="6"/>
      <c r="F2" s="6"/>
      <c r="G2" s="6"/>
      <c r="H2" s="215"/>
    </row>
    <row r="3" spans="1:8" ht="11.25">
      <c r="A3" s="202"/>
      <c r="B3" s="6"/>
      <c r="C3" s="6"/>
      <c r="D3" s="6"/>
      <c r="E3" s="6"/>
      <c r="F3" s="6"/>
      <c r="G3" s="6"/>
      <c r="H3" s="215"/>
    </row>
    <row r="4" spans="1:8" ht="12.75">
      <c r="A4" s="202"/>
      <c r="B4" s="191" t="s">
        <v>553</v>
      </c>
      <c r="C4" s="6"/>
      <c r="D4" s="6"/>
      <c r="E4" s="6"/>
      <c r="G4" s="6"/>
      <c r="H4" s="215"/>
    </row>
    <row r="5" spans="1:8" ht="11.25">
      <c r="A5" s="202"/>
      <c r="B5" s="6"/>
      <c r="C5" s="6" t="str">
        <f>CONCATENATE("Tons: ",IF(Design!F18&gt;0,CONCATENATE(ROUND(Design!F18,0),"std ( ",CHOOSE((Design!F21+1),"USL ","SL ","AF "),Design!J20,IF(Design!F21=0,"",CONCATENATE(" ",Design!J22))," )"),CONCATENATE(Design!F28,"std (AST)")))</f>
        <v>Tons: 100std ( USL Sphere )</v>
      </c>
      <c r="D5" s="6"/>
      <c r="E5" s="6" t="str">
        <f>CONCATENATE("Crew: ",ROUND(Design!E220,0),"/",ROUND(Design!E221,0))</f>
        <v>Crew: 4/4</v>
      </c>
      <c r="G5" s="6" t="str">
        <f>CONCATENATE("Cargo: ",ROUND(Design!F191*Design!E191,0),"std (",ROUND(Design!E193,0),"/",ROUND(Design!E192,0),IF(Design!E194&gt;0,CONCATENATE(" /Hdl:",ROUND(Design!E194,0),"x",ROUND(Design!F194,0),"ton"),""),IF(Design!E196&gt;0,CONCATENATE(" /Pod:",ROUND(Design!E196,0),"x",ROUND(Design!F196,0),"std"),""),0,IF(Design!F197&gt;0,CONCATENATE(" /Ar:",ROUND(VLOOKUP(Design!F197/1.43,USPTable,2)*10,0)," [",ROUND(Design!F197,0),"]"),""),")")</f>
        <v>Cargo: 0std (0/00)</v>
      </c>
      <c r="H5" s="215"/>
    </row>
    <row r="6" spans="1:8" ht="11.25">
      <c r="A6" s="202"/>
      <c r="B6" s="6"/>
      <c r="C6" s="6" t="str">
        <f>CONCATENATE("Volume: ",ROUND(Tables!$F$3,0),"m3")</f>
        <v>Volume: 1400m3</v>
      </c>
      <c r="D6" s="6"/>
      <c r="E6" s="6" t="str">
        <f>CONCATENATE("Passengers High/Med: ",ROUND(Design!E222,0),"/",ROUND(Design!E223,0))</f>
        <v>Passengers High/Med: 0/0</v>
      </c>
      <c r="G6" s="6" t="str">
        <f>CONCATENATE("Cost: ",ROUND(Design!O259,3)," MCr")</f>
        <v>Cost: 25.056 MCr</v>
      </c>
      <c r="H6" s="215"/>
    </row>
    <row r="7" spans="1:8" ht="11.25">
      <c r="A7" s="202"/>
      <c r="B7" s="6"/>
      <c r="C7" s="196" t="str">
        <f>CONCATENATE("Mass (L/C): ",ROUND(Tables!K5,0),"t/",ROUND(Tables!$K$6,0),"t")</f>
        <v>Mass (L/C): 454t/444t</v>
      </c>
      <c r="E7" s="6" t="str">
        <f>CONCATENATE("Passengers Low: ",ROUND(Design!E224,0))</f>
        <v>Passengers Low: 0</v>
      </c>
      <c r="G7" s="196" t="str">
        <f>CONCATENATE("Maintenance Points: ",ROUND(Tables!K4,0))</f>
        <v>Maintenance Points: 16</v>
      </c>
      <c r="H7" s="215"/>
    </row>
    <row r="8" spans="1:8" ht="11.25">
      <c r="A8" s="202"/>
      <c r="B8" s="6"/>
      <c r="C8" s="6" t="str">
        <f>IF(Design!F18&gt;0,CONCATENATE("Dimensions: ",IF(Design!F20=0,CONCATENATE(ROUND(Tables!F5,1),"m diameter"),CONCATENATE(ROUND(Tables!F26,1),"m x ",ROUND(Tables!F27,1),"m x ",ROUND(Tables!F28,1),"m"))),CONCATENATE("Dimensions: ",ROUND(Tables!F30,1),"m avg. diameter"))</f>
        <v>Dimensions: 13.9m diameter</v>
      </c>
      <c r="D8" s="6"/>
      <c r="E8" s="6" t="str">
        <f>CONCATENATE("Troops/Science: ",ROUND(Design!E218,0),"/",ROUND(Design!E219,0))</f>
        <v>Troops/Science: 0/0</v>
      </c>
      <c r="G8" s="6" t="str">
        <f>CONCATENATE("Tech Level: ",ROUND(Design!$D$15,0),IF(OR(IF(Tables!I2&gt;Design!$D$15,TRUE(),FALSE()),IF(Tables!I3&lt;Design!$D$15,TRUE(),FALSE())),CONCATENATE(" (",ROUND(Tables!I3,0),"/",ROUND(Tables!I2,0),")"),""))</f>
        <v>Tech Level: 12</v>
      </c>
      <c r="H8" s="215"/>
    </row>
    <row r="9" spans="1:8" ht="11.25">
      <c r="A9" s="202"/>
      <c r="B9" s="6"/>
      <c r="C9" s="6" t="str">
        <f>CONCATENATE("Size: ",IF(Tables!$F$3&gt;=14000000,"12",IF(Tables!$F$3&gt;=1400000,"11",IF(Tables!$F$3&gt;=140000,"10",IF(Tables!$F$3&gt;=14000,"9",IF(Tables!$F$3&gt;=1400,"8",IF(Tables!$F$3&gt;=140,"7",IF(Tables!$F$3&gt;=14,"6","5"))))))))</f>
        <v>Size: 8</v>
      </c>
      <c r="D9" s="6"/>
      <c r="E9" s="6" t="str">
        <f>CONCATENATE("Frozen Watch: ",ROUND(Design!F216,0),IF(Design!F216=0,"",CONCATENATE("(",ROUND(Design!E216,0)," group)")))</f>
        <v>Frozen Watch: 0</v>
      </c>
      <c r="G9" s="6"/>
      <c r="H9" s="215"/>
    </row>
    <row r="10" spans="1:8" ht="11.25">
      <c r="A10" s="202"/>
      <c r="B10" s="6"/>
      <c r="C10" s="6"/>
      <c r="D10" s="6"/>
      <c r="E10" s="6"/>
      <c r="G10" s="6"/>
      <c r="H10" s="215"/>
    </row>
    <row r="11" spans="1:8" ht="12.75">
      <c r="A11" s="202"/>
      <c r="B11" s="191" t="s">
        <v>554</v>
      </c>
      <c r="C11" s="6"/>
      <c r="D11" s="6"/>
      <c r="E11" s="6"/>
      <c r="G11" s="6"/>
      <c r="H11" s="215"/>
    </row>
    <row r="12" spans="1:8" ht="11.25">
      <c r="A12" s="202"/>
      <c r="B12" s="6"/>
      <c r="C12" s="6" t="str">
        <f>CONCATENATE("Controls",IF(Design!F92=0,"",CONCATENATE(" (/Ar: ",ROUND(VLOOKUP(Design!F92/1.43,USPTable,2)*10,0)," [",ROUND(Design!F92,0),"])")),": ",Design!J88,", ",Design!J87," automation. ",IF(Design!E84=0,"",CONCATENATE(ROUND(Design!E84,0),"xFltComp (",Design!J84,"). ")),IF(Design!E85=0,"",CONCATENATE(ROUND(Design!E85,0),"xComp (",Design!J85,"). ")),IF(Design!E86=0,"",CONCATENATE(ROUND(Design!E86,0),"xFibComp (",Design!J86,"). ")),IF(Design!E91&gt;0,CONCATENATE("Terrain following sensors (",Design!J91,"). "),""),IF(Design!E230=0,"No bridge.",IF(Design!F231=0,"Bridge.",CONCATENATE("Bridge (/Ar:",ROUND(VLOOKUP(Design!F231/1.43,USPTable,2)*10,0),"[",Design!F231,"])."))))</f>
        <v>Controls: Dynamic, Standard automation. 3xComp (CM:1.0 CP:1.0). No bridge.</v>
      </c>
      <c r="D12" s="6"/>
      <c r="E12" s="6"/>
      <c r="F12" s="6"/>
      <c r="G12" s="6"/>
      <c r="H12" s="215"/>
    </row>
    <row r="13" spans="1:8" ht="11.25">
      <c r="A13" s="202"/>
      <c r="B13" s="6"/>
      <c r="C13" s="6" t="str">
        <f>CONCATENATE("Communications",IF(Design!F102=0,"",CONCATENATE(" (/Ar: ",ROUND(VLOOKUP(Design!F102/1.43,USPTable,2)*10,0)," [",ROUND(Design!F102,0),"])")),": ",Tables!E579,Tables!E581,Tables!E583,Tables!E585)</f>
        <v>Communications: 1xRadio (500,000km, 0.17MW). 1xLaser (1,000AU, 0MW). </v>
      </c>
      <c r="D13" s="6"/>
      <c r="E13" s="6"/>
      <c r="F13" s="6"/>
      <c r="G13" s="6"/>
      <c r="H13" s="215"/>
    </row>
    <row r="14" spans="1:8" ht="11.25">
      <c r="A14" s="202"/>
      <c r="B14" s="6"/>
      <c r="C14" s="6" t="str">
        <f>CONCATENATE("Sensors",IF(Design!F120=0,"",CONCATENATE(" (/Ar: ",ROUND(VLOOKUP(Design!F120/1.43,USPTable,2)*10,0)," [",ROUND(Design!F120,0),"])")),": ",Tables!E587,Tables!E589,Tables!E591,Tables!E593,Tables!E595)</f>
        <v>Sensors: 1xPEMS (12.5 [1.6mkm], 0MW). 1xAEMS (8, 0.03MW). </v>
      </c>
      <c r="D14" s="6"/>
      <c r="E14" s="6"/>
      <c r="F14" s="6"/>
      <c r="G14" s="6"/>
      <c r="H14" s="215"/>
    </row>
    <row r="15" spans="1:8" ht="11.25">
      <c r="A15" s="202"/>
      <c r="B15" s="6"/>
      <c r="C15" s="6" t="str">
        <f>CONCATENATE("Survey/Science",IF(Design!F120=0,"",CONCATENATE(" (/Ar :",ROUND(VLOOKUP(Design!F120/1.43,USPTable,2)*10,0)," [",ROUND(Design!F120,0),"])")),": ",Tables!E597,Tables!E599,Tables!E601)</f>
        <v>Survey/Science: </v>
      </c>
      <c r="D15" s="6"/>
      <c r="E15" s="6"/>
      <c r="F15" s="6"/>
      <c r="G15" s="6"/>
      <c r="H15" s="215"/>
    </row>
    <row r="16" spans="1:8" ht="11.25">
      <c r="A16" s="202"/>
      <c r="B16" s="6"/>
      <c r="C16" s="196" t="str">
        <f>CONCATENATE("ECM",IF(Design!F136=0,"",CONCATENATE(" (/Ar: ",ROUND(VLOOKUP(Design!F136/1.43,USPTable,2)*10,0),"  [",ROUND(Design!F136,0),"])")),": ",Tables!E603,Tables!E605,Tables!E607,Tables!E609,Tables!E611,Tables!E612,Tables!E613)</f>
        <v>ECM: </v>
      </c>
      <c r="D16" s="6"/>
      <c r="E16" s="6"/>
      <c r="F16" s="6"/>
      <c r="G16" s="6"/>
      <c r="H16" s="215"/>
    </row>
    <row r="17" spans="1:8" ht="11.25">
      <c r="A17" s="202"/>
      <c r="B17" s="6"/>
      <c r="C17" s="67" t="str">
        <f>CONCATENATE("Signatures: Vis:",ROUND(Tables!E555,1),", IR:",ROUND(Tables!E556,1)," (",IF(Tables!E553&lt;&gt;TotalPower,CONCATENATE(ROUND(Tables!E557,1)," at ",ROUND(Tables!E553,0),"MW, "),""),ROUND(Tables!E558,1)," at ",ROUND(Tables!$E$554,0),"MW), Act:",ROUND(Tables!E559,1),", Neu:",ROUND(Tables!E560,0),", Grav:",ROUND(Tables!E561,0))</f>
        <v>Signatures: Vis:-1, IR:-0.5 (-1 at 6MW), Act:0, Neu:-1, Grav:0</v>
      </c>
      <c r="F17" s="6"/>
      <c r="G17" s="6"/>
      <c r="H17" s="215"/>
    </row>
    <row r="18" spans="1:8" ht="11.25">
      <c r="A18" s="202"/>
      <c r="B18" s="6"/>
      <c r="C18" s="6"/>
      <c r="D18" s="6"/>
      <c r="E18" s="6"/>
      <c r="F18" s="6"/>
      <c r="G18" s="6"/>
      <c r="H18" s="215"/>
    </row>
    <row r="19" spans="1:8" ht="12.75">
      <c r="A19" s="202"/>
      <c r="B19" s="191" t="s">
        <v>555</v>
      </c>
      <c r="C19" s="6"/>
      <c r="D19" s="6"/>
      <c r="E19" s="6"/>
      <c r="F19" s="10" t="s">
        <v>556</v>
      </c>
      <c r="G19" s="6"/>
      <c r="H19" s="215"/>
    </row>
    <row r="20" spans="1:8" ht="12.75">
      <c r="A20" s="202"/>
      <c r="B20" s="191"/>
      <c r="C20" s="6">
        <f>IF(Design!E82=0,"",CONCATENATE(ROUND(Design!E82,0),"xBeam Master Fire Directors (",ROUND(Design!N82/Design!E82,0),"MW ",Design!J82,IF(Design!F92=0,"",CONCATENATE(" (/Ar: ",ROUND(VLOOKUP(Design!F92/1.43,USPTable,2)*10,0)," [",ROUND(Design!F92,0),"])")),")"))</f>
      </c>
      <c r="D20" s="6"/>
      <c r="E20" s="6"/>
      <c r="F20" s="4">
        <f>ROUND(Design!F44,0)</f>
        <v>1</v>
      </c>
      <c r="G20" s="6" t="str">
        <f>IF(Design!F44&gt;0,CONCATENATE("Jump (",ROUND((Tables!$F$3*0.1)/14,0),"std/pc fuel",IF(Design!F48&gt;0,CONCATENATE(" /Ar:",ROUND(VLOOKUP(Design!F48/1.43,USPTable,2)*10,0)," [",ROUND(Design!F48,0),"]"),""),")"),"Jump")</f>
        <v>Jump (10std/pc fuel)</v>
      </c>
      <c r="H20" s="215"/>
    </row>
    <row r="21" spans="1:8" ht="11.25">
      <c r="A21" s="202"/>
      <c r="B21" s="6"/>
      <c r="C21" s="6">
        <f>IF(Design!E83=0,"",CONCATENATE(ROUND(Design!E83,0),"xMissile Master Fire Directors (",ROUND(Design!N83/Design!E83,0),"MW ",Design!J83,IF(Design!F92=0,"",CONCATENATE(" (/Ar: ",ROUND(VLOOKUP(Design!F92/1.43,USPTable,2)*10,0)," [",ROUND(Design!F92,0),"])")),")"))</f>
      </c>
      <c r="F21" s="4" t="str">
        <f>IF(Design!D13=0,ROUND(MAX(Design!F34,Design!F37,Design!F40),0),CONCATENATE(ROUND(MAX(Tables!L8,Tables!L16,Tables!L18),1),"/",ROUND(MAX(Tables!M8,Tables!M16,Tables!M18),1)))</f>
        <v>3.1/3.2</v>
      </c>
      <c r="G21" s="6" t="str">
        <f>CONCATENATE("Maneuver ",IF(Design!E34+Design!E37+Design!E40&gt;0,CONCATENATE("(",IF(Design!E34&gt;0,CONCATENATE("/",Tables!K7,":",ROUND(Design!N34,0),"MW,",Design!J35,IF(Design!E37+Design!E40&gt;0," ","")),""),IF(Design!E37&gt;0,CONCATENATE("/HEPlaR:",ROUND(Design!N37,0),"MW,",Design!J38,IF(Design!E40&gt;0," ","")),""),IF(Design!E40&gt;0,CONCATENATE("/Thruster:",ROUND(Design!N40,0),"MW"),""),IF(Design!F48&gt;0,CONCATENATE(" /Ar:",ROUND(VLOOKUP(Design!F48/1.43,USPTable,2)*10,0)," [",ROUND(Design!F48,0),"]"),""),")"),""))</f>
        <v>Maneuver (/Thruster:35MW)</v>
      </c>
      <c r="H21" s="215"/>
    </row>
    <row r="22" spans="1:8" ht="11.25">
      <c r="A22" s="202"/>
      <c r="B22" s="6"/>
      <c r="C22" s="6" t="str">
        <f>IF(Design!E54=0," ",CONCATENATE(ROUND(Design!E54,0),"x",Las1!D$4," ",Las1!D$49))</f>
        <v> </v>
      </c>
      <c r="D22" s="6"/>
      <c r="E22" s="6"/>
      <c r="F22" s="4" t="str">
        <f>IF(Design!D13=0,ROUND(Design!F42,0),CONCATENATE(ROUND(Tables!L20,1),"/",ROUND(Tables!M20,1)))</f>
        <v>3.1/3.2</v>
      </c>
      <c r="G22" s="196" t="str">
        <f>CONCATENATE("Contra-grav ",IF(Design!E42&gt;0,CONCATENATE("(",ROUND(Design!N42,0),"MW",IF(Design!F48&gt;0,CONCATENATE(" /Ar:",ROUND(VLOOKUP(Design!F48/1.43,USPTable,2)*10,0)," [",ROUND(Design!F48,0),"]"),""),")"),""))</f>
        <v>Contra-grav (24MW)</v>
      </c>
      <c r="H22" s="215"/>
    </row>
    <row r="23" spans="1:8" ht="11.25">
      <c r="A23" s="202"/>
      <c r="B23" s="6"/>
      <c r="C23" s="6" t="str">
        <f>IF(Design!E55=0," ",CONCATENATE(ROUND(Design!E55,0),"x",Las2!D$4," ",Las2!D$49))</f>
        <v> </v>
      </c>
      <c r="D23" s="6"/>
      <c r="E23" s="6"/>
      <c r="F23" s="221" t="str">
        <f>IF(OR(IF(Design!F21=0,TRUE(),FALSE()),IF(Design!F28&gt;0,TRUE(),FALSE())),"n/a",CONCATENATE(ROUND(Tables!R7,0),"kph/",ROUND(Tables!R8,0),"kph"))</f>
        <v>n/a</v>
      </c>
      <c r="G23" s="196" t="str">
        <f>IF(F23="n/a","Atmosphere",CONCATENATE("Atmosphere (/Crus:",ROUND(Tables!R9,0),"kph/",ROUND(Tables!R10,0),"kph)"))</f>
        <v>Atmosphere</v>
      </c>
      <c r="H23" s="215"/>
    </row>
    <row r="24" spans="1:8" ht="11.25">
      <c r="A24" s="202"/>
      <c r="B24" s="6"/>
      <c r="C24" s="6" t="str">
        <f>IF(Design!E56=0," ",CONCATENATE(ROUND(Design!E56,0),"x",Las3!D$4," ",Las3!D$49))</f>
        <v> </v>
      </c>
      <c r="D24" s="6"/>
      <c r="E24" s="6"/>
      <c r="F24" s="4">
        <f>ROUND((2*SUM(Design!N138:N153))/MAX(Design!F18,Design!F28),0)</f>
        <v>1</v>
      </c>
      <c r="G24" s="6" t="str">
        <f>CONCATENATE("Power ",IF(TotalPower&gt;0,CONCATENATE("(",Tables!E563,Tables!E564,Tables!E565,Tables!E566,Tables!E567,Tables!E568,IF(Design!F157&gt;0,CONCATENATE(" /Ar:",ROUND(VLOOKUP(Design!F157/1.43,USPTable,2)*10,0)," [",ROUND(Design!F157,0),"]"),""),")"),""))</f>
        <v>Power (/Fus:60MW,0yr )</v>
      </c>
      <c r="H24" s="215"/>
    </row>
    <row r="25" spans="1:8" ht="11.25">
      <c r="A25" s="202"/>
      <c r="B25" s="6"/>
      <c r="C25" s="6" t="str">
        <f>IF(Design!E57=0," ",CONCATENATE(ROUND(Design!E57,0),"x",Las4!D$4," ",Las4!D$49))</f>
        <v> </v>
      </c>
      <c r="D25" s="6"/>
      <c r="E25" s="6"/>
      <c r="F25" s="196">
        <f>Design!F154*Design!G154</f>
        <v>0</v>
      </c>
      <c r="G25" s="316" t="str">
        <f>IF(F25=0,"Battery",CONCATENATE("Battery (",IF(Power!H23="n/a",0,Power!H23),"/",IF(Power!H24="n/a",0,Power!H24),"/",IF(Power!H25="n/a",0,Power!H25),IF(Design!F157&gt;0,CONCATENATE(" /Ar:",ROUND(VLOOKUP(Design!F157/1.43,USPTable,2)*10,0)," [",ROUND(Design!F157,0),"]"),""),")"))</f>
        <v>Battery</v>
      </c>
      <c r="H25" s="215"/>
    </row>
    <row r="26" spans="1:8" ht="11.25">
      <c r="A26" s="202"/>
      <c r="B26" s="6"/>
      <c r="C26" s="6" t="str">
        <f>IF(Design!E58=0," ",CONCATENATE(ROUND(Design!E58,0),"x",Mis1!D$4," ",Mis1!D$85))</f>
        <v> </v>
      </c>
      <c r="D26" s="6"/>
      <c r="E26" s="6"/>
      <c r="F26" s="4">
        <f>ROUND((Tables!K22-(Design!E200*Design!F200))/14,1)</f>
        <v>10</v>
      </c>
      <c r="G26" s="6" t="str">
        <f>CONCATENATE("Fuel",IF(Design!E201+Design!E202+Design!E200+Design!F204&gt;0,CONCATENATE(" (",IF(Design!E200&gt;0,CONCATENATE("/Drop:",ROUND(Design!E200,0),"x",ROUND(Design!F200,0),IF(Design!E201+Design!E202&gt;0," ","")),""),IF(Design!E201&gt;0,CONCATENATE("/Scoop:",ROUND((Design!K45+Design!K38+Design!K142+Design!K199)/(Design!E201*0.04*Tables!$F$3),0),IF(Design!E202&gt;0," ","")),""),IF(Design!E202&gt;0,CONCATENATE("/Purif:",ROUND(Design!F202,0),",",ROUND(Design!N202,0),"MW"),""),IF(Design!F204&gt;0,CONCATENATE(" /Ar:",ROUND(VLOOKUP(Design!F204/1.43,USPTable,2)*10,0)," [",ROUND(Design!F204,0),"]"),""),")"),""))</f>
        <v>Fuel</v>
      </c>
      <c r="H26" s="215"/>
    </row>
    <row r="27" spans="1:8" ht="11.25">
      <c r="A27" s="202"/>
      <c r="B27" s="6"/>
      <c r="C27" s="6"/>
      <c r="D27" s="6" t="str">
        <f>IF(Design!E58=0," ",CONCATENATE("w/",ROUND(Mis1!D$89+(Mis1!D$64*Mis1!D$65)+Mis1!D$64,0)," ",Mis1!D$59))</f>
        <v> </v>
      </c>
      <c r="E27" s="6"/>
      <c r="F27" s="4" t="str">
        <f>CONCATENATE(ROUND(Design!E237,0),"/",ROUND(Design!E240,0),"/",ROUND(Design!E241,0),"/",ROUND(Design!E238,0),"/",ROUND(Design!E239,0))</f>
        <v>0/4/0/0/0</v>
      </c>
      <c r="G27" s="6" t="str">
        <f>CONCATENATE("Accomodations ",IF(Design!F243&gt;0,CONCATENATE("(/Ar: ",ROUND(VLOOKUP(Design!F243/1.43,USPTable,2)*10,0)," [",ROUND(Design!F243,0),"])"),""))</f>
        <v>Accomodations </v>
      </c>
      <c r="H27" s="215"/>
    </row>
    <row r="28" spans="1:8" ht="11.25">
      <c r="A28" s="202"/>
      <c r="B28" s="6"/>
      <c r="C28" s="6" t="str">
        <f>IF(Design!E59=0," ",CONCATENATE(ROUND(Design!E59,0),"x",Mis2!D$4," ",Mis2!D$85))</f>
        <v> </v>
      </c>
      <c r="D28" s="6"/>
      <c r="E28" s="6"/>
      <c r="F28" s="4">
        <f>ROUND(Design!E249*Design!F249,0)</f>
        <v>16</v>
      </c>
      <c r="G28" s="6" t="str">
        <f>CONCATENATE("Life Sup. (/Ty:",IF(Design!E246&gt;0,CHOOSE((((Design!F246+1)-1)+1),"EnA","EnB","EnC","EnD"),CHOOSE((((Design!F245+1)-1)+1),"Op","Mn","Ba","St","Ex")),",",CHOOSE((((Design!G249+1)-1)+1),"Mn","Nm","Gd","Ex"),IF(Design!H249&gt;0," /'St",""),IF(Design!F257&gt;0,CONCATENATE(" /Ar:",ROUND(VLOOKUP(Design!F257/1.43,USPTable,2)*10,0)," [",ROUND(Design!F257,0),"]"),""),")")</f>
        <v>Life Sup. (/Ty:St,Nm /'St)</v>
      </c>
      <c r="H28" s="215"/>
    </row>
    <row r="29" spans="1:8" ht="11.25">
      <c r="A29" s="202"/>
      <c r="B29" s="6"/>
      <c r="C29" s="6"/>
      <c r="D29" s="6" t="str">
        <f>IF(Design!E59=0," ",CONCATENATE("w/",ROUND(Mis2!D$89+(Mis2!D$64*Mis2!D$65)+Mis2!D$64,0)," ",Mis2!D$59))</f>
        <v> </v>
      </c>
      <c r="E29" s="6"/>
      <c r="F29" s="221">
        <f>ROUND(Design!F256,0)</f>
        <v>1</v>
      </c>
      <c r="G29" s="196" t="str">
        <f>CONCATENATE("G-Comp ",IF(Design!E252+Design!E253+Design!F257&gt;0,CONCATENATE("(",IF(Design!E252+Design!E253&gt;0,CONCATENATE("/GTanks:",ROUND(Design!E252,0),",",ROUND(Design!E253,0)),""),IF(Design!F257&gt;0,CONCATENATE(" /Ar:",ROUND(VLOOKUP(Design!F257/1.43,USPTable,2)*10,0)," [",ROUND(Design!F257,0),"]"),""),")"),""))</f>
        <v>G-Comp </v>
      </c>
      <c r="H29" s="215"/>
    </row>
    <row r="30" spans="1:8" ht="11.25">
      <c r="A30" s="202"/>
      <c r="B30" s="6"/>
      <c r="C30" s="6" t="str">
        <f>IF(Design!E60=0," ",CONCATENATE(ROUND(Design!E60,0),"x",PA1!D$4," ",PA1!D$49))</f>
        <v> </v>
      </c>
      <c r="D30" s="6"/>
      <c r="E30" s="6"/>
      <c r="F30" s="4">
        <f>IF(Design!E65=0,0,Design!F65)</f>
        <v>0</v>
      </c>
      <c r="G30" s="6" t="str">
        <f>IF(Design!E65=0,"ESA",CONCATENATE("ESA (/ROD:",ROUND(Design!G65,0),IF(Design!F80&gt;0,CONCATENATE(" /Ar:",ROUND(VLOOKUP(Design!F80/1.43,USPTable,2)*10,0)," [",ROUND(Design!F80,0),"]"),""),")"))</f>
        <v>ESA</v>
      </c>
      <c r="H30" s="215"/>
    </row>
    <row r="31" spans="1:8" ht="11.25">
      <c r="A31" s="202"/>
      <c r="B31" s="6"/>
      <c r="C31" s="6" t="str">
        <f>IF(Design!E61=0," ",CONCATENATE(ROUND(Design!E61,0),"x",PA2!D$4," ",PA2!D$49))</f>
        <v> </v>
      </c>
      <c r="D31" s="6"/>
      <c r="E31" s="6"/>
      <c r="F31" s="4">
        <f>ROUND(Design!E77,0)</f>
        <v>0</v>
      </c>
      <c r="G31" s="6" t="str">
        <f>IF(Design!E77&gt;0,CONCATENATE("Sandcasters ( /AV:",ROUND(Design!F77,0)," /Cans:",ROUND(Design!G77,0),IF(Design!F80&gt;0,CONCATENATE(" /Ar:",ROUND(VLOOKUP(Design!F80/1.43,USPTable,2)*10,0)," [",ROUND(Design!F80,0),"]"),""),")"),"Sandcasters")</f>
        <v>Sandcasters</v>
      </c>
      <c r="H31" s="215"/>
    </row>
    <row r="32" spans="1:8" ht="11.25">
      <c r="A32" s="202"/>
      <c r="B32" s="6"/>
      <c r="C32" s="6" t="str">
        <f>IF(Design!E62=0," ",CONCATENATE(ROUND(Design!E62,0),"x",Mes1!D$4," ",Mes1!D$45))</f>
        <v> </v>
      </c>
      <c r="D32" s="6"/>
      <c r="E32" s="6"/>
      <c r="F32" s="4">
        <f>ROUND(Design!E73,0)</f>
        <v>0</v>
      </c>
      <c r="G32" s="6" t="str">
        <f>IF(Design!E73&gt;0,CONCATENATE("Damper Turrets (",ROUND(Design!N73/Design!E73,0),"MW /Rng:",Design!J73,0,IF(Design!F80&gt;0,CONCATENATE(" /Ar:",ROUND(VLOOKUP(Design!F80/1.43,USPTable,2)*10,0)," [",ROUND(Design!F80,0),"]"),""),")"),"Damper Turrets")</f>
        <v>Damper Turrets</v>
      </c>
      <c r="H32" s="215"/>
    </row>
    <row r="33" spans="1:8" ht="11.25">
      <c r="A33" s="202"/>
      <c r="B33" s="6"/>
      <c r="C33" s="6" t="str">
        <f>IF(Design!E63=0," ",CONCATENATE(ROUND(Design!E63,0),"x",Mes2!D$4," ",Mes2!D$45))</f>
        <v> </v>
      </c>
      <c r="D33" s="6"/>
      <c r="E33" s="6"/>
      <c r="F33" s="4">
        <f>IF(Design!E75=0,0,Design!F75)</f>
        <v>0</v>
      </c>
      <c r="G33" s="6" t="str">
        <f>CONCATENATE("Damper Screen ",IF(Design!E75=0,"",CONCATENATE("(",ROUND(Design!N75,0),"MW",IF(Design!F80&gt;0,CONCATENATE(" /Ar:",ROUND(VLOOKUP(Design!F80/1.43,USPTable,2)*10,0)," [",ROUND(Design!F80,0),"]"),""),")")))</f>
        <v>Damper Screen </v>
      </c>
      <c r="H33" s="215"/>
    </row>
    <row r="34" spans="1:8" ht="11.25">
      <c r="A34" s="202"/>
      <c r="B34" s="6"/>
      <c r="C34" s="6" t="str">
        <f>IF(Design!E50=0," ",CONCATENATE(ROUND(Design!E50,0),"xEmpty Turret (",ROUND((Design!K50/Design!E50)/14,0),"std ea.)"))</f>
        <v> </v>
      </c>
      <c r="D34" s="6"/>
      <c r="E34" s="6"/>
      <c r="F34" s="4">
        <f>IF(Design!E71=0,0,Design!F71)</f>
        <v>0</v>
      </c>
      <c r="G34" s="6" t="str">
        <f>CONCATENATE("Meson Screen ",IF(Design!E71=0,"",CONCATENATE("(",Design!N71/Design!E71,"MW",IF(Design!F80&gt;0,CONCATENATE(" /Ar:",ROUND(VLOOKUP(Design!F80/1.43,USPTable,2)*10,0)," [",ROUND(Design!F80,0),"]"),""),")")))</f>
        <v>Meson Screen </v>
      </c>
      <c r="H34" s="215"/>
    </row>
    <row r="35" spans="1:8" ht="11.25">
      <c r="A35" s="202"/>
      <c r="B35" s="6"/>
      <c r="C35" s="6" t="str">
        <f>IF(Design!E51=0," ",CONCATENATE(ROUND(Design!E51,0),"xEmpty Turret (",ROUND((Design!K51/Design!E51)/14,0),"std ea.)"))</f>
        <v> </v>
      </c>
      <c r="D35" s="6"/>
      <c r="E35" s="6"/>
      <c r="F35" s="4">
        <f>IF(Design!E68=0,0,10*Design!F68)</f>
        <v>0</v>
      </c>
      <c r="G35" s="6" t="str">
        <f>IF(Design!E68=0,"Force Field",CONCATENATE("Force Field (/Acc:",Design!J69,IF(Design!F80&gt;0,CONCATENATE(" /Ar:",ROUND(VLOOKUP(Design!F80/1.43,USPTable,2)*10,0)," [",ROUND(Design!F80,0),"]"),""),")"))</f>
        <v>Force Field</v>
      </c>
      <c r="H35" s="215"/>
    </row>
    <row r="36" spans="1:8" ht="11.25">
      <c r="A36" s="202"/>
      <c r="B36" s="6"/>
      <c r="C36" s="6" t="str">
        <f>IF(Design!E52=0," ",CONCATENATE(ROUND(Design!E52,0),"xEmpty Bay (",ROUND((Design!K52/Design!E52)/14,0),"std ea.)"))</f>
        <v> </v>
      </c>
      <c r="D36" s="6"/>
      <c r="E36" s="6"/>
      <c r="F36" s="4">
        <f>Design!E78</f>
        <v>0</v>
      </c>
      <c r="G36" s="196" t="str">
        <f>IF(Design!E78=0,"Gravtics",CONCATENATE("Gravtics (",ROUND(Design!N78/Design!E78,0),"MW ",CHOOSE((((Design!G78+1)-1)+1),"/Tractor:","/Repulsor:","/Manipulator:"),ROUND(Design!F78,0),"kN",IF(Design!F80&gt;0,CONCATENATE(" /Ar:",ROUND(VLOOKUP(Design!F80/1.43,USPTable,2)*10,0)," [",ROUND(Design!F80,0),"]"),""),")"))</f>
        <v>Gravtics</v>
      </c>
      <c r="H36" s="215"/>
    </row>
    <row r="37" spans="1:8" ht="11.25">
      <c r="A37" s="202"/>
      <c r="B37" s="6"/>
      <c r="C37" s="6" t="str">
        <f>IF(Design!E53=0," ",CONCATENATE(ROUND(Design!E53,0),"xEmpty Bay (",ROUND((Design!K53/Design!E53)/14,0),"std ea.)"))</f>
        <v> </v>
      </c>
      <c r="D37" s="6"/>
      <c r="E37" s="6"/>
      <c r="F37" s="4" t="str">
        <f>IF(Design!F18&gt;0,CONCATENATE(ROUND(VLOOKUP(Design!F23/1.43,Tables!$A$2:$B$61,2)*10,0)," [",ROUND(Design!F23,0),"]"),CONCATENATE(ROUND(VLOOKUP(Design!F30/1.43,Tables!$A$2:$B$61,2)*10,0)," [",ROUND(Design!F30,0),"]"))</f>
        <v>10 [29]</v>
      </c>
      <c r="G37" s="294" t="str">
        <f>CONCATENATE("Armor, ",IF(Design!F18&gt;0,VLOOKUP(Design!F18*Design!F26,Tables!$A$2:$B$61,2),VLOOKUP(Design!F28*Tables!F38,Tables!$A$2:$B$61,2))," Structure")</f>
        <v>Armor, 3 Structure</v>
      </c>
      <c r="H37" s="215"/>
    </row>
    <row r="38" spans="1:8" ht="11.25">
      <c r="A38" s="202"/>
      <c r="B38" s="6"/>
      <c r="C38" s="6"/>
      <c r="D38" s="6"/>
      <c r="E38" s="6"/>
      <c r="F38" s="6"/>
      <c r="G38" s="6"/>
      <c r="H38" s="215"/>
    </row>
    <row r="39" spans="1:8" ht="12.75">
      <c r="A39" s="202"/>
      <c r="B39" s="191" t="s">
        <v>474</v>
      </c>
      <c r="C39" s="6"/>
      <c r="D39" s="6"/>
      <c r="E39" s="6"/>
      <c r="G39" s="6"/>
      <c r="H39" s="215"/>
    </row>
    <row r="40" spans="1:8" ht="12.75">
      <c r="A40" s="202"/>
      <c r="B40" s="191"/>
      <c r="C40" s="6" t="str">
        <f>IF(Design!$E247=0,"",CONCATENATE(ROUND(Design!$E247,0),"xAirlock"))</f>
        <v>1xAirlock</v>
      </c>
      <c r="D40" s="6"/>
      <c r="E40" s="6">
        <f>IF(Design!$E248=0,"",CONCATENATE(ROUND(Design!$E248,0),"xDecontamination Airlock"))</f>
      </c>
      <c r="G40" s="6">
        <f>IF(Design!E188=0,"",CONCATENATE(ROUND(Design!E188,0),"xDocking Umbilical"))</f>
      </c>
      <c r="H40" s="215"/>
    </row>
    <row r="41" spans="1:8" ht="11.25">
      <c r="A41" s="202"/>
      <c r="B41" s="6"/>
      <c r="C41" s="6" t="str">
        <f>IF(Design!$E$173=0," ",CONCATENATE(ROUND(Design!$E$173,0),"xElectronic Shop (6std ea.",IF(Design!F189&gt;0,CONCATENATE(" /Ar:",ROUND(VLOOKUP(Design!F189/1.43,USPTable,2)*10,0)," [",ROUND(Design!F189,0),"]"),""),")"))</f>
        <v> </v>
      </c>
      <c r="D41" s="6"/>
      <c r="E41" s="6" t="str">
        <f>IF(Design!$E$174=0," ",CONCATENATE(ROUND(Design!$E$174,0),"xMachine Shop (10std ea.",IF(Design!F189&gt;0,CONCATENATE(" /Ar:",ROUND(VLOOKUP(Design!F189/1.43,USPTable,2)*10,0)," [",ROUND(Design!F189,0),"]"),""),")"))</f>
        <v> </v>
      </c>
      <c r="G41" s="6" t="str">
        <f>IF(Design!$E$175=0," ",CONCATENATE(ROUND(Design!$E$175,0),"xLaboratory (8std ea.",IF(Design!F189&gt;0,CONCATENATE(" /Ar:",ROUND(VLOOKUP(Design!F189/1.43,USPTable,2)*10,0)," [",ROUND(Design!F189,0),"]"),""),")"))</f>
        <v> </v>
      </c>
      <c r="H41" s="215"/>
    </row>
    <row r="42" spans="1:8" ht="11.25">
      <c r="A42" s="202"/>
      <c r="B42" s="6"/>
      <c r="C42" s="6" t="str">
        <f>IF(Design!$E$176=0," ",CONCATENATE(ROUND(Design!$E$176,0),"xSickbay (8std ea.",IF(Design!F189&gt;0,CONCATENATE(" /Ar:",ROUND(VLOOKUP(Design!F189/1.43,USPTable,2)*10,0)," [",ROUND(Design!F189,0),"]"),""),")"))</f>
        <v> </v>
      </c>
      <c r="D42" s="6"/>
      <c r="E42" s="6" t="str">
        <f>IF(Design!$E$177=0," ",CONCATENATE(ROUND(Design!$E$177,0),"xShip's locker (",ROUND(Design!K177/14/Design!E177,2),"std ea.",IF(Design!F189&gt;0,CONCATENATE(" /Ar:",ROUND(VLOOKUP(Design!F189/1.43,USPTable,2)*10,0)," [",ROUND(Design!F189,0),"]"),""),")"))</f>
        <v> </v>
      </c>
      <c r="G42" s="6" t="str">
        <f>IF(SUM(Design!E178:E180)=0," ",CONCATENATE(ROUND(SUM(Design!E178:E180),0),"xPrisoner Capacity (",ROUND(Design!E178,0),"/",ROUND(Design!E179,0),"/",ROUND(Design!E180,0),IF(Design!F189&gt;0,CONCATENATE(" /Ar:",ROUND(VLOOKUP(Design!F189/1.43,USPTable,2)*10,0)," [",ROUND(Design!F189,0),"]"),""),")"))</f>
        <v> </v>
      </c>
      <c r="H42" s="215"/>
    </row>
    <row r="43" spans="1:8" ht="11.25">
      <c r="A43" s="202"/>
      <c r="B43" s="6"/>
      <c r="C43" s="6" t="str">
        <f>IF(Design!$E$181=0," ",CONCATENATE(ROUND(Design!$E$181,0),"xArmory (",ROUND(Design!$K$181/14/Design!$E$181,2),"std ea.",IF(Design!F189&gt;0,CONCATENATE(" /Ar:",ROUND(VLOOKUP(Design!F189/1.43,USPTable,2)*10,0)," [",ROUND(Design!F189,0),"]"),""),")"))</f>
        <v> </v>
      </c>
      <c r="D43" s="6"/>
      <c r="E43" s="6" t="str">
        <f>IF(Design!$E$182=0," ",CONCATENATE(ROUND(Design!$E$182,0),"xGym (2.5std ea.",IF(Design!F189&gt;0,CONCATENATE(" /Ar:",ROUND(VLOOKUP(Design!F189/1.43,USPTable,2)*10,0)," [",ROUND(Design!F189,0),"]"),""),")"))</f>
        <v> </v>
      </c>
      <c r="G43" s="6" t="str">
        <f>IF(Design!$E$183=0," ",CONCATENATE(ROUND(Design!$E$183,0),"x",Design!$J$183,"(",ROUND(Design!$K$183/14/Design!$E$183,2),"std ea.",IF(Design!F189&gt;0,CONCATENATE(" /Ar:",ROUND(VLOOKUP(Design!F189/1.43,USPTable,2)*10,0)," [",ROUND(Design!F189,0),"]"),""),")"))</f>
        <v> </v>
      </c>
      <c r="H43" s="215"/>
    </row>
    <row r="44" spans="1:8" ht="11.25">
      <c r="A44" s="202"/>
      <c r="B44" s="6"/>
      <c r="C44" s="6" t="str">
        <f>IF(Design!$E$184=0," ",CONCATENATE(ROUND(Design!$E$184,0),"x",Design!$J$184,"(",ROUND(Design!$K$184/14/Design!$E$184,2),"std ea.",IF(Design!F189&gt;0,CONCATENATE(" /Ar:",ROUND(VLOOKUP(Design!F189/1.43,USPTable,2)*10,0)," [",ROUND(Design!F189,0),"]"),""),")"))</f>
        <v> </v>
      </c>
      <c r="D44" s="6"/>
      <c r="E44" s="6" t="str">
        <f>IF(Design!$E$185=0," ",CONCATENATE(ROUND(Design!$E$185,0),"x",Design!$J$185,"(",ROUND(Design!$K$185/14/Design!$E$185,2),"std ea.",IF(Design!F189&gt;0,CONCATENATE(" /Ar:",ROUND(VLOOKUP(Design!F189/1.43,USPTable,2)*10,0)," [",ROUND(Design!F189,0),"]"),""),")"))</f>
        <v> </v>
      </c>
      <c r="G44" s="6" t="str">
        <f>IF(Design!$E$186=0," ",CONCATENATE(ROUND(Design!$E$186,0),"x",Design!$J$186,"(",ROUND(Design!$K$186/14/Design!$E$186,2),"std ea.",IF(Design!F189&gt;0,CONCATENATE(" /Ar:",ROUND(VLOOKUP(Design!F189/1.43,USPTable,2)*10,0)," [",ROUND(Design!F189,0),"]"),""),")"))</f>
        <v> </v>
      </c>
      <c r="H44" s="215"/>
    </row>
    <row r="45" spans="1:8" ht="11.25">
      <c r="A45" s="202"/>
      <c r="B45" s="6"/>
      <c r="C45" s="6" t="str">
        <f>IF(Design!$E250=0,"",CONCATENATE(ROUND(Design!$E250,0),"xOrdinary Galley (Cap:",ROUND(Design!$F250,0),IF(Design!F243&gt;0,CONCATENATE(" /Ar: ",ROUND(VLOOKUP(Design!F243/1.43,USPTable,2)*10,0)," [",ROUND(Design!F243,0),"]"),""),")"))</f>
        <v>1xOrdinary Galley (Cap:4)</v>
      </c>
      <c r="D45" s="6"/>
      <c r="E45" s="6">
        <f>IF(Design!$E251=0,"",CONCATENATE(ROUND(Design!$E251,0),"xFull Galley (Cap:",ROUND(Design!$F251,0),IF(Design!F243&gt;0,CONCATENATE(" /Ar: ",ROUND(VLOOKUP(Design!F243/1.43,USPTable,2)*10,0)," [",ROUND(Design!F243,0),"]"),""),")"))</f>
      </c>
      <c r="G45" s="196">
        <f>IF(Design!E187=0,"",CONCATENATE(ROUND(Design!E187,0),"xCap Lnchr (",ROUND(Design!F187,0)," rdy cap ea.",IF(Design!F189&gt;0,CONCATENATE(" /Ar:",ROUND(VLOOKUP(Design!F189/1.43,USPTable,2)*10,0)," [",ROUND(Design!F189,0),"]"),""),")"))</f>
      </c>
      <c r="H45" s="215"/>
    </row>
    <row r="46" spans="1:8" ht="11.25">
      <c r="A46" s="202"/>
      <c r="B46" s="6"/>
      <c r="C46" s="196">
        <f>IF(Design!E47=0,"",CONCATENATE(ROUND(Design!E47,0),"xSolar Sails (",ROUND(Design!F47,0),"km2, ",Design!J47,IF(Design!G47&gt;0," stowable",""),")"))</f>
      </c>
      <c r="D46" s="6"/>
      <c r="H46" s="215"/>
    </row>
    <row r="47" spans="1:8" ht="11.25">
      <c r="A47" s="202"/>
      <c r="B47" s="6"/>
      <c r="C47" s="6"/>
      <c r="D47" s="6"/>
      <c r="E47" s="6"/>
      <c r="G47" s="6"/>
      <c r="H47" s="215"/>
    </row>
    <row r="48" spans="1:8" ht="12.75">
      <c r="A48" s="202"/>
      <c r="B48" s="191" t="s">
        <v>279</v>
      </c>
      <c r="C48" s="6"/>
      <c r="D48" s="6"/>
      <c r="E48" s="6"/>
      <c r="G48" s="6"/>
      <c r="H48" s="215"/>
    </row>
    <row r="49" spans="1:8" ht="11.25">
      <c r="A49" s="202"/>
      <c r="B49" s="6"/>
      <c r="C49" s="6" t="str">
        <f>IF(Design!$E$159=0," ",CONCATENATE(Design!$E$159,"xMinHgr (",Design!$F$159,"std, ",Design!$G$159," hatches",IF(Design!F189&gt;0,CONCATENATE(" /Ar:",ROUND(VLOOKUP(Design!F189/1.43,USPTable,2)*10,0)," [",ROUND(Design!F189,0),"]"),""),")"))</f>
        <v> </v>
      </c>
      <c r="D49" s="6"/>
      <c r="E49" s="6" t="str">
        <f>IF(Design!$E$160=0," ",CONCATENATE(Design!$E$160,"xMinHgr (",Design!$F$160,"std, ",Design!$G$160," hatches",IF(Design!F171&gt;0,CONCATENATE(" /Ar:",ROUND(VLOOKUP(Design!F171/1.43,USPTable,2)*10,0)," [",ROUND(Design!F171,0),"]"),""),")"))</f>
        <v> </v>
      </c>
      <c r="G49" s="6" t="str">
        <f>IF(Design!$E$161=0," ",CONCATENATE(Design!$E$161,"xSpacHgr (",Design!$F$161,"std, ",Design!$G$161," hatches",IF(Design!F171&gt;0,CONCATENATE(" /Ar:",ROUND(VLOOKUP(Design!F171/1.43,USPTable,2)*10,0)," [",ROUND(Design!F171,0),"]"),""),")"))</f>
        <v> </v>
      </c>
      <c r="H49" s="215"/>
    </row>
    <row r="50" spans="1:8" ht="11.25">
      <c r="A50" s="202"/>
      <c r="B50" s="6"/>
      <c r="C50" s="6" t="str">
        <f>IF(Design!$E$162=0," ",CONCATENATE(Design!$E$162,"xSpacHgr (",Design!$F$162,"std, ",Design!$G$162," hatches",IF(Design!F171&gt;0,CONCATENATE(" /Ar:",ROUND(VLOOKUP(Design!F171/1.43,USPTable,2)*10,0)," [",ROUND(Design!F171,0),"]"),""),")"))</f>
        <v> </v>
      </c>
      <c r="D50" s="6"/>
      <c r="E50" s="6" t="str">
        <f>IF(Design!$E$163=0," ",CONCATENATE(ROUND(Design!$E$163,0),"xDockRing (",ROUND(Design!$F$163,0),"std",IF(Design!F171&gt;0,CONCATENATE(" /Ar:",ROUND(VLOOKUP(Design!F171/1.43,USPTable,2)*10,0)," [",ROUND(Design!F171,0),"]"),""),")"))</f>
        <v> </v>
      </c>
      <c r="G50" s="6" t="str">
        <f>IF(Design!$E$164=0," ",CONCATENATE(ROUND(Design!$E$164,0),"xDockRing (",ROUND(Design!$F$164,0),"std",IF(Design!F171&gt;0,CONCATENATE(" /Ar:",ROUND(VLOOKUP(Design!F171/1.43,USPTable,2)*10,0)," [",ROUND(Design!F171,0),"]"),""),")"))</f>
        <v> </v>
      </c>
      <c r="H50" s="215"/>
    </row>
    <row r="51" spans="1:8" ht="11.25">
      <c r="A51" s="202"/>
      <c r="B51" s="6"/>
      <c r="C51" s="6" t="str">
        <f>IF(Design!$E$165=0," ",CONCATENATE(ROUND(Design!$E$165,0),"xJetBay (",ROUND(Design!$F$165,0),"std",IF(Design!F171&gt;0,CONCATENATE(" /Ar:",ROUND(VLOOKUP(Design!F171/1.43,USPTable,2)*10,0)," [",ROUND(Design!F171,0),"]"),""),")"))</f>
        <v> </v>
      </c>
      <c r="D51" s="6"/>
      <c r="E51" s="6" t="str">
        <f>IF(Design!$E$166=0," ",CONCATENATE(ROUND(Design!$E$166,0),"xJetBay (",ROUND(Design!$F$166,0),"std",IF(Design!F171&gt;0,CONCATENATE(" /Ar:",ROUND(VLOOKUP(Design!F171/1.43,USPTable,2)*10,0)," [",ROUND(Design!F171,0),"]"),""),")"))</f>
        <v> </v>
      </c>
      <c r="G51" s="6" t="str">
        <f>IF(Design!$E$167=0," ",CONCATENATE(ROUND(Design!$E$167,0),"xLnchTube (",ROUND(Design!$F$167,0),"std",IF(Design!F171&gt;0,CONCATENATE(" /Ar:",ROUND(VLOOKUP(Design!F171/1.43,USPTable,2)*10,0)," [",ROUND(Design!F171,0),"]"),""),")"))</f>
        <v> </v>
      </c>
      <c r="H51" s="215"/>
    </row>
    <row r="52" spans="1:8" ht="11.25">
      <c r="A52" s="202"/>
      <c r="B52" s="6"/>
      <c r="C52" s="6" t="str">
        <f>IF(Design!$E$168=0," ",CONCATENATE(ROUND(Design!$E$168,0),"xLnchTube (",ROUND(Design!$F$168,0),"std",IF(Design!F171&gt;0,CONCATENATE(" /Ar:",ROUND(VLOOKUP(Design!F171/1.43,USPTable,2)*10,0)," [",ROUND(Design!F171,0),"]"),""),")"))</f>
        <v> </v>
      </c>
      <c r="D52" s="6"/>
      <c r="E52" s="6" t="str">
        <f>IF(Design!$E$169=0," ",CONCATENATE(ROUND(Design!$E$169,0),"x",CHOOSE((((Design!$G$169+1)-1)+1),"USL ","SL ","AF "),IF(Design!$H$169=0,"Grapple (","Univ. Grapple ("),ROUND(Design!$F$169,0),"std craft)"))</f>
        <v> </v>
      </c>
      <c r="G52" s="6" t="str">
        <f>IF(Design!$E$170=0," ",CONCATENATE(ROUND(Design!$E$170,0),"x",CHOOSE((((Design!$G$170+1)-1)+1),"USL ","SL ","AF "),IF(Design!$H$170=0,"Grapple (","Univ. Grapple ("),ROUND(Design!$F$170,0),"std craft)"))</f>
        <v> </v>
      </c>
      <c r="H52" s="215"/>
    </row>
    <row r="53" spans="1:8" ht="11.25">
      <c r="A53" s="202"/>
      <c r="B53" s="6"/>
      <c r="C53" s="6"/>
      <c r="D53" s="6"/>
      <c r="E53" s="6"/>
      <c r="G53" s="6"/>
      <c r="H53" s="215"/>
    </row>
    <row r="54" spans="1:8" ht="12.75">
      <c r="A54" s="202"/>
      <c r="B54" s="191" t="s">
        <v>477</v>
      </c>
      <c r="C54" s="6"/>
      <c r="D54" s="6"/>
      <c r="E54" s="6"/>
      <c r="G54" s="6"/>
      <c r="H54" s="215"/>
    </row>
    <row r="55" spans="1:8" ht="11.25">
      <c r="A55" s="202"/>
      <c r="B55" s="6"/>
      <c r="C55" s="6" t="str">
        <f>CONCATENATE("Drives: ",Tables!E570,Tables!E571,Tables!E572,Tables!E573,Tables!E574)</f>
        <v>Drives: </v>
      </c>
      <c r="D55" s="6"/>
      <c r="E55" s="6"/>
      <c r="G55" s="6"/>
      <c r="H55" s="215"/>
    </row>
    <row r="56" spans="1:8" ht="11.25">
      <c r="A56" s="202"/>
      <c r="B56" s="6"/>
      <c r="C56" s="6" t="str">
        <f>CONCATENATE("Screens: ",Tables!E575,Tables!E576,Tables!E577,Tables!E578)</f>
        <v>Screens: </v>
      </c>
      <c r="D56" s="6"/>
      <c r="E56" s="6"/>
      <c r="F56" s="6"/>
      <c r="G56" s="6"/>
      <c r="H56" s="215"/>
    </row>
    <row r="57" spans="1:8" ht="11.25">
      <c r="A57" s="202"/>
      <c r="B57" s="6"/>
      <c r="C57" s="6" t="str">
        <f>CONCATENATE("Communications: ",Tables!E580,Tables!E582,Tables!E584,Tables!E586)</f>
        <v>Communications: </v>
      </c>
      <c r="D57" s="6"/>
      <c r="E57" s="6"/>
      <c r="F57" s="6"/>
      <c r="G57" s="6"/>
      <c r="H57" s="215"/>
    </row>
    <row r="58" spans="1:8" ht="11.25">
      <c r="A58" s="202"/>
      <c r="B58" s="6"/>
      <c r="C58" s="6" t="str">
        <f>CONCATENATE("Sensors: ",Tables!E588,Tables!E590,Tables!E592,Tables!E594,Tables!E596)</f>
        <v>Sensors: </v>
      </c>
      <c r="D58" s="6"/>
      <c r="E58" s="6"/>
      <c r="F58" s="6"/>
      <c r="G58" s="6"/>
      <c r="H58" s="215"/>
    </row>
    <row r="59" spans="1:8" ht="11.25">
      <c r="A59" s="202"/>
      <c r="B59" s="6"/>
      <c r="C59" s="6" t="str">
        <f>CONCATENATE("Survey/Science: ",Tables!E598,Tables!E600,Tables!E602)</f>
        <v>Survey/Science: </v>
      </c>
      <c r="D59" s="6"/>
      <c r="E59" s="6"/>
      <c r="F59" s="6"/>
      <c r="G59" s="6"/>
      <c r="H59" s="215"/>
    </row>
    <row r="60" spans="1:8" ht="11.25">
      <c r="A60" s="202"/>
      <c r="B60" s="6"/>
      <c r="C60" s="196" t="str">
        <f>CONCATENATE("ECM: ",Tables!E604,Tables!E606,Tables!E608,Tables!E610)</f>
        <v>ECM: </v>
      </c>
      <c r="D60" s="6"/>
      <c r="E60" s="6"/>
      <c r="F60" s="6"/>
      <c r="G60" s="6"/>
      <c r="H60" s="215"/>
    </row>
    <row r="61" spans="1:8" ht="11.25">
      <c r="A61" s="202"/>
      <c r="B61" s="6"/>
      <c r="C61" s="6" t="str">
        <f>CONCATENATE("Power &amp; Fuel: ",Tables!E614,Tables!E615,Tables!E616,Tables!E617,Tables!E618,Tables!E619)</f>
        <v>Power &amp; Fuel: </v>
      </c>
      <c r="D61" s="6"/>
      <c r="E61" s="6"/>
      <c r="F61" s="6"/>
      <c r="G61" s="6"/>
      <c r="H61" s="215"/>
    </row>
    <row r="62" spans="1:8" ht="11.25">
      <c r="A62" s="202"/>
      <c r="B62" s="6"/>
      <c r="C62" s="6"/>
      <c r="D62" s="6"/>
      <c r="E62" s="6"/>
      <c r="F62" s="6"/>
      <c r="G62" s="6"/>
      <c r="H62" s="215"/>
    </row>
    <row r="63" spans="1:8" ht="12.75">
      <c r="A63" s="202"/>
      <c r="B63" s="191" t="s">
        <v>479</v>
      </c>
      <c r="C63" s="6"/>
      <c r="D63" s="6"/>
      <c r="E63" s="6"/>
      <c r="F63" s="6"/>
      <c r="G63" s="6"/>
      <c r="H63" s="215"/>
    </row>
    <row r="64" spans="1:8" ht="11.25">
      <c r="A64" s="202"/>
      <c r="B64" s="6"/>
      <c r="C64" s="6" t="str">
        <f>CONCATENATE(IF(Design!E206=0,"",CONCATENATE(ROUND(Design!E206,0),"xMnvr. ")),IF(Design!E207=0,"",CONCATENATE(ROUND(Design!E207,0),"xElec. ")),IF(Design!E208=0,"",CONCATENATE(ROUND(Design!E208,0),"xEngr. ")),IF(Design!E209=0,"",CONCATENATE(ROUND(Design!E209,0),"xMain. ")),IF(Design!E210=0,"",CONCATENATE(ROUND(Design!E210,0),"xGunn. ")),IF(Design!E211=0,"",CONCATENATE(ROUND(Design!E211,0),"xScrn. ")),IF(Design!E212=0,"",CONCATENATE(ROUND(Design!E212,0),"xFlgt. ")),IF(Design!E213=0,"",CONCATENATE(ROUND(Design!E213,0),"xTrps. ")),IF(Design!E214=0,"",CONCATENATE(ROUND(Design!E214,0),"xCmnd. ")),IF(Design!E215=0,"",CONCATENATE(ROUND(Design!E215,0),"xStew. ")),IF(Design!E217=0,"",CONCATENATE(ROUND(Design!E217,0),"xMed. ")))</f>
        <v>2xMnvr. 1xElec. 1xEngr. </v>
      </c>
      <c r="D64" s="6"/>
      <c r="E64" s="6"/>
      <c r="F64" s="6"/>
      <c r="G64" s="6"/>
      <c r="H64" s="215"/>
    </row>
    <row r="65" spans="1:8" ht="11.25">
      <c r="A65" s="203"/>
      <c r="B65" s="209"/>
      <c r="C65" s="209"/>
      <c r="D65" s="209"/>
      <c r="E65" s="209"/>
      <c r="F65" s="209"/>
      <c r="G65" s="209"/>
      <c r="H65" s="217"/>
    </row>
    <row r="67" ht="11.25">
      <c r="A67" s="196">
        <f>IF(Design!D14&gt;0,"Note: this ship uses the unofficial fuel in waste space rule.","")</f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57421875" style="314" customWidth="1"/>
    <col min="2" max="2" width="12.7109375" style="314" customWidth="1"/>
    <col min="3" max="3" width="12.7109375" style="489" customWidth="1"/>
    <col min="4" max="4" width="12.7109375" style="314" customWidth="1"/>
    <col min="5" max="5" width="12.7109375" style="489" customWidth="1"/>
    <col min="6" max="8" width="12.7109375" style="314" customWidth="1"/>
    <col min="9" max="9" width="1.57421875" style="314" customWidth="1"/>
    <col min="10" max="16384" width="8.421875" style="314" customWidth="1"/>
  </cols>
  <sheetData>
    <row r="1" spans="1:9" ht="11.25">
      <c r="A1" s="486"/>
      <c r="B1" s="440"/>
      <c r="C1" s="488"/>
      <c r="D1" s="440"/>
      <c r="E1" s="488"/>
      <c r="F1" s="440"/>
      <c r="G1" s="440"/>
      <c r="H1" s="440"/>
      <c r="I1" s="441"/>
    </row>
    <row r="2" spans="1:9" ht="15.75">
      <c r="A2" s="444"/>
      <c r="B2" s="479" t="str">
        <f>Design!D4</f>
        <v>name</v>
      </c>
      <c r="I2" s="443"/>
    </row>
    <row r="3" spans="1:9" ht="11.25">
      <c r="A3" s="444"/>
      <c r="B3" s="487" t="s">
        <v>557</v>
      </c>
      <c r="C3" s="489">
        <f>Tables!$F$3/14</f>
        <v>100</v>
      </c>
      <c r="D3" s="487" t="s">
        <v>558</v>
      </c>
      <c r="E3" s="489" t="s">
        <v>559</v>
      </c>
      <c r="I3" s="443"/>
    </row>
    <row r="4" spans="1:9" ht="11.25">
      <c r="A4" s="444"/>
      <c r="B4" s="487" t="s">
        <v>560</v>
      </c>
      <c r="C4" s="489">
        <f>VLOOKUP(Tables!$F$3/14,Tables!$A$95:$B$109,2)</f>
        <v>2</v>
      </c>
      <c r="D4" s="487" t="s">
        <v>561</v>
      </c>
      <c r="E4" s="489">
        <f>VLOOKUP(Tables!K6,Tables!$A$64:$B$92,2)+IF(Design!F87=2,-1,0)+IF(Design!F20=21,-1,0)+IF(Design!F28&gt;0,1,0)+IF((Tables!F61+Tables!F59)&gt;=(Tables!$F$3*0.7),-1,0)</f>
        <v>3</v>
      </c>
      <c r="F4" s="487" t="s">
        <v>562</v>
      </c>
      <c r="G4" s="489" t="str">
        <f>CONCATENATE(Tables!E633,"/",Design!F256+2+IF(Design!E253&gt;=Design!E221,1,0))</f>
        <v>1/3</v>
      </c>
      <c r="I4" s="443"/>
    </row>
    <row r="5" spans="1:9" ht="11.25">
      <c r="A5" s="444"/>
      <c r="B5" s="487" t="s">
        <v>563</v>
      </c>
      <c r="C5" s="489" t="str">
        <f>CONCATENATE(IF(Tables!L8=0,"",CONCATENATE("P:",Tables!L8,"(",Tables!E631,")",IF(Tables!L12=0," ",CONCATENATE(",",Tables!L12," ")))),IF(Tables!L16=0,"",CONCATENATE("H:",Tables!L16,"(",Tables!E632,")",IF(Tables!L17=0," ",CONCATENATE(",",Tables!L17," ")))),IF(Tables!L18=0,"",CONCATENATE(Tables!L18,IF(Tables!L19=0,"",CONCATENATE(",",Tables!L19)))))</f>
        <v>3.1</v>
      </c>
      <c r="D5" s="487" t="s">
        <v>564</v>
      </c>
      <c r="E5" s="489" t="str">
        <f>CONCATENATE(Design!F44,IF(Design!E46=0,"",CONCATENATE(",",Design!F46)))</f>
        <v>1</v>
      </c>
      <c r="F5" s="487" t="s">
        <v>565</v>
      </c>
      <c r="G5" s="489" t="str">
        <f>CONCATENATE(Tables!E629,IF(Tables!E630=0,"",CONCATENATE(",",Tables!E630)))</f>
        <v>5</v>
      </c>
      <c r="I5" s="443"/>
    </row>
    <row r="6" spans="1:9" ht="11.25">
      <c r="A6" s="444"/>
      <c r="C6" s="314"/>
      <c r="D6" s="487"/>
      <c r="F6" s="487"/>
      <c r="I6" s="443"/>
    </row>
    <row r="7" spans="1:9" ht="11.25">
      <c r="A7" s="444"/>
      <c r="C7" s="505"/>
      <c r="D7" s="517" t="s">
        <v>566</v>
      </c>
      <c r="E7" s="517" t="s">
        <v>567</v>
      </c>
      <c r="F7" s="517" t="s">
        <v>568</v>
      </c>
      <c r="G7" s="517" t="s">
        <v>569</v>
      </c>
      <c r="I7" s="443"/>
    </row>
    <row r="8" spans="1:9" ht="11.25">
      <c r="A8" s="444"/>
      <c r="B8" s="487" t="s">
        <v>570</v>
      </c>
      <c r="C8" s="436"/>
      <c r="D8" s="516" t="str">
        <f>CONCATENATE(VLOOKUP(((Tables!$E$624+Design!$F48)/1.4),Tables!$A$112:$B$137,2),"/",VLOOKUP(((Tables!$E$624+Design!$F80)/1.4),Tables!$A$112:$B$137,2))</f>
        <v>6/6</v>
      </c>
      <c r="E8" s="516" t="str">
        <f>CONCATENATE(VLOOKUP(((Tables!$E$624+Design!$F92)/1.4),Tables!$A$112:$B$137,2),"/",VLOOKUP(((Tables!$E$624+Design!$F102)/1.4),Tables!$A$112:$B$137,2))</f>
        <v>6/6</v>
      </c>
      <c r="F8" s="516" t="str">
        <f>CONCATENATE(VLOOKUP(((Tables!$E$624+Design!$F120)/1.4),Tables!$A$112:$B$137,2),"/",VLOOKUP(((Tables!$E$624+Design!$F136)/1.4),Tables!$A$112:$B$137,2))</f>
        <v>6/6</v>
      </c>
      <c r="G8" s="516" t="str">
        <f>CONCATENATE(VLOOKUP(((Tables!$E$624+Design!$F157)/1.4),Tables!$A$112:$B$137,2),"/",VLOOKUP(((Tables!$E$624+Design!$F171)/1.4),Tables!$A$112:$B$137,2))</f>
        <v>6/6</v>
      </c>
      <c r="I8" s="443"/>
    </row>
    <row r="9" spans="1:9" ht="11.25">
      <c r="A9" s="444"/>
      <c r="B9" s="487" t="s">
        <v>571</v>
      </c>
      <c r="C9" s="506" t="s">
        <v>572</v>
      </c>
      <c r="D9" s="514" t="s">
        <v>573</v>
      </c>
      <c r="E9" s="514" t="s">
        <v>574</v>
      </c>
      <c r="F9" s="514" t="s">
        <v>575</v>
      </c>
      <c r="G9" s="505" t="s">
        <v>576</v>
      </c>
      <c r="I9" s="443"/>
    </row>
    <row r="10" spans="1:9" ht="11.25">
      <c r="A10" s="444"/>
      <c r="C10" s="506">
        <f>VLOOKUP(Tables!E624/1.4,Tables!$A$112:$B$137,2)</f>
        <v>6</v>
      </c>
      <c r="D10" s="516" t="str">
        <f>CONCATENATE(VLOOKUP(((Tables!$E$624+Design!$F189)/1.4),Tables!$A$112:$B$137,2),"/",VLOOKUP(((Tables!$E$624+Design!$F197)/1.4),Tables!$A$112:$B$137,2))</f>
        <v>6/6</v>
      </c>
      <c r="E10" s="516" t="str">
        <f>CONCATENATE(VLOOKUP(((Tables!$E$624+Design!$F204)/1.4),Tables!$A$112:$B$137,2),"/",VLOOKUP(((Tables!$E$624+Design!$F231)/1.4),Tables!$A$112:$B$137,2))</f>
        <v>6/6</v>
      </c>
      <c r="F10" s="516" t="str">
        <f>CONCATENATE(VLOOKUP(((Tables!$E$624+Design!$F243)/1.4),Tables!$A$112:$B$137,2),"/",VLOOKUP(((Tables!$E$624+Design!$F257)/1.4),Tables!$A$112:$B$137,2))</f>
        <v>6/6</v>
      </c>
      <c r="G10" s="509" t="str">
        <f>CONCATENATE(VLOOKUP(((Tables!$E$624+Las1!$D$21)/1.4),Tables!$A$112:$B$137,2),"/",VLOOKUP(((Tables!$E$624+Las2!$D$21)/1.4),Tables!$A$112:$B$137,2))</f>
        <v>6/6</v>
      </c>
      <c r="I10" s="443"/>
    </row>
    <row r="11" spans="1:9" ht="11.25">
      <c r="A11" s="444"/>
      <c r="C11" s="436"/>
      <c r="D11" s="517" t="s">
        <v>577</v>
      </c>
      <c r="E11" s="517" t="s">
        <v>578</v>
      </c>
      <c r="F11" s="517" t="s">
        <v>579</v>
      </c>
      <c r="G11" s="505" t="s">
        <v>580</v>
      </c>
      <c r="I11" s="443"/>
    </row>
    <row r="12" spans="1:9" ht="11.25">
      <c r="A12" s="444"/>
      <c r="C12" s="504"/>
      <c r="D12" s="509" t="str">
        <f>CONCATENATE(VLOOKUP(((Tables!$E$624+Las3!$D$21)/1.4),Tables!$A$112:$B$137,2),"/",VLOOKUP(((Tables!$E$624+Las4!$D$21)/1.4),Tables!$A$112:$B$137,2))</f>
        <v>6/6</v>
      </c>
      <c r="E12" s="509" t="str">
        <f>CONCATENATE(VLOOKUP(((Tables!$E$624+Mis1!D71)/1.4),Tables!$A$112:$B$137,2),"/",VLOOKUP(((Tables!$E$624+Mis2!D71)/1.4),Tables!$A$112:$B$137,2))</f>
        <v>6/6</v>
      </c>
      <c r="F12" s="509" t="str">
        <f>CONCATENATE(VLOOKUP(((Tables!$E$624+PA1!D22)/1.4),Tables!$A$112:$B$137,2),"/",VLOOKUP(((Tables!$E$624+PA2!D22)/1.4),Tables!$A$112:$B$137,2))</f>
        <v>6/6</v>
      </c>
      <c r="G12" s="509" t="str">
        <f>CONCATENATE(VLOOKUP(((Tables!$E$624+Mes1!D18)/1.4),Tables!$A$112:$B$137,2),"/",VLOOKUP(((Tables!$E$624+Mes2!D18)/1.4),Tables!$A$112:$B$137,2))</f>
        <v>6/6</v>
      </c>
      <c r="I12" s="443"/>
    </row>
    <row r="13" spans="1:9" ht="11.25">
      <c r="A13" s="444"/>
      <c r="C13" s="314"/>
      <c r="E13" s="314"/>
      <c r="I13" s="443"/>
    </row>
    <row r="14" spans="1:9" ht="11.25">
      <c r="A14" s="444"/>
      <c r="B14" s="487" t="s">
        <v>581</v>
      </c>
      <c r="C14" s="314" t="str">
        <f>CONCATENATE(IF(Tables!E634=0,"No bridge. ",CONCATENATE(Tables!E634,"xBridge. ")),IF(Design!E84&gt;0,CONCATENATE(Design!E84,"xFlt. Computer "),""),IF(Design!E85&gt;0,CONCATENATE(Design!E85,"xComputer "),""),IF(Design!E86&gt;0,CONCATENATE(Design!E86,"xFib. Computer"),""))</f>
        <v>No bridge. 3xComputer </v>
      </c>
      <c r="E14" s="487"/>
      <c r="I14" s="443"/>
    </row>
    <row r="15" spans="1:9" ht="11.25">
      <c r="A15" s="444"/>
      <c r="B15" s="487" t="s">
        <v>582</v>
      </c>
      <c r="C15" s="489" t="str">
        <f>CONCATENATE("Radio rec: ",IF(Design!E94=0,"",CONCATENATE(Design!E94,IF(Design!E95=0,"",CONCATENATE(", ",Design!E95)))))</f>
        <v>Radio rec: </v>
      </c>
      <c r="D15" s="314" t="str">
        <f>CONCATENATE("Radio tran: ",IF(Design!E96=0,"",CONCATENATE(Design!E96,IF(Design!E97=0,"",CONCATENATE(", ",Design!E97)))))</f>
        <v>Radio tran: 1</v>
      </c>
      <c r="E15" s="489" t="str">
        <f>CONCATENATE("Laser: ",IF(Design!E98=0,"",CONCATENATE(Design!E98,IF(Design!E99=0,"",CONCATENATE(", ",Design!E99)))))</f>
        <v>Laser: 1</v>
      </c>
      <c r="F15" s="314" t="str">
        <f>CONCATENATE("Meson: ",IF(Design!E100=0,"",CONCATENATE(Design!E100,IF(Design!E101=0,"",CONCATENATE(", ",Design!E101)))))</f>
        <v>Meson: </v>
      </c>
      <c r="I15" s="443"/>
    </row>
    <row r="16" spans="1:9" ht="11.25">
      <c r="A16" s="444"/>
      <c r="B16" s="487" t="s">
        <v>583</v>
      </c>
      <c r="C16" s="489" t="str">
        <f>CONCATENATE("Passive: ",IF(Design!E106+Design!E108=0,"",CONCATENATE(Design!E106+Design!E108,"x",Tables!E635)),IF(Design!E107+Design!E109=0,"",CONCATENATE(", ",Design!E107+Design!E109,"x",Tables!E636)))</f>
        <v>Passive: 1x12.5</v>
      </c>
      <c r="E16" s="489" t="str">
        <f>CONCATENATE("Active: ",IF(Design!E110=0,"",CONCATENATE(Design!E110,"x",Tables!E637)),IF(Design!E111=0,"",CONCATENATE(", ",Design!E111,"x",Tables!E638)))</f>
        <v>Active: 1x8</v>
      </c>
      <c r="G16" s="314" t="str">
        <f>CONCATENATE("LIDAR: ",IF(Design!E112=0,"",CONCATENATE(Design!E112,"x",Tables!E639)),IF(Design!E113=0,"",CONCATENATE(Design!E113,"x",Tables!E640)))</f>
        <v>LIDAR: </v>
      </c>
      <c r="I16" s="443"/>
    </row>
    <row r="17" spans="1:9" ht="11.25">
      <c r="A17" s="444"/>
      <c r="B17" s="487" t="s">
        <v>584</v>
      </c>
      <c r="C17" s="489" t="str">
        <f>CONCATENATE("Passive: ",IF(Design!E128=0,"",CONCATENATE(Design!E128,"x",Design!J128,IF(Design!E129=0,"",CONCATENATE(", ",Design!E129,"x",Design!J128)))))</f>
        <v>Passive: </v>
      </c>
      <c r="E17" s="489" t="str">
        <f>CONCATENATE("Active: ",IF(Design!E126=0,"",CONCATENATE(Design!E126,"x",Design!J126,IF(Design!E127=0,"",CONCATENATE(", ",Design!E127,"x",Design!J127)))))</f>
        <v>Active: </v>
      </c>
      <c r="G17" s="314" t="str">
        <f>CONCATENATE("Area: ",IF(Design!E126=0,"",CONCATENATE(Design!E124,"x",Design!J124,IF(Design!E125=0,"",CONCATENATE(", ",Design!E125,"x",Design!J125)))))</f>
        <v>Area: </v>
      </c>
      <c r="I17" s="443"/>
    </row>
    <row r="18" spans="1:9" ht="11.25">
      <c r="A18" s="444"/>
      <c r="B18" s="487" t="s">
        <v>585</v>
      </c>
      <c r="C18" s="489" t="str">
        <f>CONCATENATE("Passive: ",IF(Design!E130=0,"",CONCATENATE(Design!E130," (",Design!E131,")")))</f>
        <v>Passive: </v>
      </c>
      <c r="E18" s="489" t="str">
        <f>CONCATENATE("Active: ",IF(Design!E132=0,"",CONCATENATE(Design!E132," (",Design!E133,")")))</f>
        <v>Active: </v>
      </c>
      <c r="G18" s="314" t="str">
        <f>CONCATENATE("LIDAR: ",IF(Design!E134=0,"",CONCATENATE(Design!E134," (",Design!E135,")")))</f>
        <v>LIDAR: </v>
      </c>
      <c r="I18" s="443"/>
    </row>
    <row r="19" spans="1:9" ht="11.25">
      <c r="A19" s="444"/>
      <c r="B19" s="487" t="s">
        <v>586</v>
      </c>
      <c r="C19" s="489" t="str">
        <f>CONCATENATE("Vis: ",Tables!E555)</f>
        <v>Vis: -1</v>
      </c>
      <c r="D19" s="314" t="str">
        <f>CONCATENATE("IR: ",Tables!E556)</f>
        <v>IR: -0.5</v>
      </c>
      <c r="E19" s="489" t="str">
        <f>CONCATENATE("Active: ",Tables!E559)</f>
        <v>Active: 0</v>
      </c>
      <c r="G19" s="314" t="str">
        <f>CONCATENATE("LIDAR: ",Tables!E562)</f>
        <v>LIDAR: 0</v>
      </c>
      <c r="I19" s="443"/>
    </row>
    <row r="20" spans="1:9" ht="11.25">
      <c r="A20" s="444"/>
      <c r="B20" s="487"/>
      <c r="I20" s="443"/>
    </row>
    <row r="21" spans="1:9" ht="11.25">
      <c r="A21" s="444"/>
      <c r="B21" s="487" t="s">
        <v>587</v>
      </c>
      <c r="C21" s="489" t="str">
        <f>CONCATENATE(IF(Design!F45=0,"",CONCATENATE(ROUND((Design!K45/14),1),"std jump fuel, ")),ROUND((Tables!K22/14)-(Design!E200*Design!F200)-(Design!K45/14),1),"std  power/extra fuel.  ",IF(Design!E200=0,"",CONCATENATE(Design!E200,"x",Design!F200,"std drop tanks")))</f>
        <v>10std jump fuel, 0std  power/extra fuel.  </v>
      </c>
      <c r="I21" s="443"/>
    </row>
    <row r="22" spans="1:9" ht="11.25">
      <c r="A22" s="444"/>
      <c r="B22" s="559" t="s">
        <v>588</v>
      </c>
      <c r="C22" s="489" t="str">
        <f>CONCATENATE(ROUND(Design!E218,0),"/",ROUND(Design!E219,0),"/",ROUND(Design!F216,0))</f>
        <v>0/0/0</v>
      </c>
      <c r="D22" s="559" t="s">
        <v>589</v>
      </c>
      <c r="E22" s="314" t="str">
        <f>CONCATENATE(ROUND(Design!E222,0),"/",ROUND(Design!E223,0),"/",ROUND(Design!E224,0))</f>
        <v>0/0/0</v>
      </c>
      <c r="F22" s="487" t="s">
        <v>590</v>
      </c>
      <c r="G22" s="489" t="str">
        <f>USP!F27</f>
        <v>0/4/0/0/0</v>
      </c>
      <c r="I22" s="443"/>
    </row>
    <row r="23" spans="1:9" ht="11.25">
      <c r="A23" s="444"/>
      <c r="B23" s="487" t="s">
        <v>591</v>
      </c>
      <c r="C23" s="489">
        <f>CONCATENATE(IF(Design!E191=0,"",CONCATENATE(Design!E191,"x",Design!F191,"std bay")),IF(AND(IF(Design!E191&gt;0,TRUE(),FALSE()),IF(Design!E196&gt;0,TRUE(),FALSE())),"    ",""),IF(Design!E196=0,"",CONCATENATE(Design!E196,"x",Design!F196,"std pods")))</f>
      </c>
      <c r="D23" s="487"/>
      <c r="I23" s="443"/>
    </row>
    <row r="24" spans="1:9" ht="11.25">
      <c r="A24" s="444"/>
      <c r="B24" s="487" t="s">
        <v>592</v>
      </c>
      <c r="C24" s="489" t="str">
        <f>CONCATENATE(IF(Design!E173=0,"",CONCATENATE(Design!E173,"xElec. ")),IF(Design!E174=0,"",CONCATENATE(Design!E174,"xMach. ")),IF(Design!E175=0,"",CONCATENATE(Design!E175,"xLab. ")),IF(Design!E176=0,"",CONCATENATE(Design!E176,"xSick. ")),IF(Design!E177=0,"",CONCATENATE(Design!E177,"xLock. ")),IF(SUM(Design!E178:E180)=0,"",CONCATENATE(SUM(Design!E178:E180),"xBrig. ")),IF(Design!E181=0,"",CONCATENATE(Design!E181,"xArm. ")),IF(Design!E182=0,"",CONCATENATE(Design!E182,"xGym. ")),IF(Design!E187=0,"",CONCATENATE(Design!E187,"xCaps. ")),IF(SUM(Design!E250:E251)=0,"",CONCATENATE(SUM(Design!E250:E251),"xGalley")))</f>
        <v>1xGalley</v>
      </c>
      <c r="I24" s="443"/>
    </row>
    <row r="25" spans="1:9" ht="11.25">
      <c r="A25" s="444"/>
      <c r="B25" s="487" t="s">
        <v>593</v>
      </c>
      <c r="C25" s="314">
        <f>CONCATENATE(IF(Design!E183=0,"",CONCATENATE(Design!E183,"x",Design!J183," ")),IF(Design!E184=0,"",CONCATENATE(Design!E184,"x",Design!J184," ")),IF(Design!E185=0,"",CONCATENATE(Design!E185,"x",Design!J185," ")),IF(Design!E186=0,"",CONCATENATE(Design!E186,"x",Design!J186)))</f>
      </c>
      <c r="E25" s="314"/>
      <c r="I25" s="443"/>
    </row>
    <row r="26" spans="1:9" ht="11.25">
      <c r="A26" s="444"/>
      <c r="B26" s="487" t="s">
        <v>594</v>
      </c>
      <c r="C26" s="489">
        <f>CONCATENATE(IF(Design!E159=0,"",CONCATENATE(Design!E159,"x",Design!F159,"std hgr (",Design!G159,") ")),IF(Design!E160=0,"",CONCATENATE(Design!E160,"x",Design!F160,"std hgr (",Design!G160,") ")),IF(Design!E161=0,"",CONCATENATE(Design!E161,"x",Design!F161,"std hgr (",Design!G161,") ")),IF(Design!E162=0,"",CONCATENATE(Design!E162,"x",Design!F162,"std hgr (",Design!G162,") ")))</f>
      </c>
      <c r="I26" s="443"/>
    </row>
    <row r="27" spans="1:9" ht="11.25">
      <c r="A27" s="444"/>
      <c r="B27" s="487" t="s">
        <v>595</v>
      </c>
      <c r="C27" s="489">
        <f>CONCATENATE(IF(Design!E163=0,"",CONCATENATE(Design!E163,"x",Design!F163,"std ring ")),IF(Design!E164=0,"",CONCATENATE(Design!E164,"x",Design!F164,"std ring ")),IF(Design!E165=0,"",CONCATENATE(Design!E165,"x",Design!F165,"std jet ")),IF(Design!E166=0,"",CONCATENATE(Design!E166,"x",Design!F166,"std jet ")),IF(Design!E167=0,"",CONCATENATE(Design!E167,"x",Design!F167,"std tub ")),IF(Design!E168=0,"",CONCATENATE(Design!E168,"x",Design!F168,"std tub ")),IF(Design!E169=0,"",CONCATENATE(Design!E169,"x",Design!F169,"std grp ")),IF(Design!E170=0,"",CONCATENATE(Design!E170,"x",Design!F170,"std grp ")))</f>
      </c>
      <c r="I27" s="443"/>
    </row>
    <row r="28" spans="1:9" ht="11.25">
      <c r="A28" s="444"/>
      <c r="B28" s="487" t="str">
        <f>CONCATENATE("Fire Control: ")</f>
        <v>Fire Control: </v>
      </c>
      <c r="C28" s="489">
        <f>CONCATENATE(IF(Design!E82=0,"",CONCATENATE(Design!E82,"xBeam: ",CHOOSE((Design!D82+1),"+0","+0","+0","+0","+0","+0","+0","+0","+0","+0","+3","+3","+4","+4","+5","+6","+6","+7","+7","+8","+8","+9"))),IF(AND(IF(Design!E82&gt;0,TRUE(),FALSE()),IF(Design!E83&gt;0,TRUE(),FALSE())),"   ",""),IF(Design!E83=0,"",CONCATENATE(Design!E83,"xMissile: ",CHOOSE((Design!D83+1),"+0","+0","+0","+0","+0","+0","+0","+0","+0","+0","3","3","4","4","5","6","6","7","7","8","8","9"))))</f>
      </c>
      <c r="I28" s="443"/>
    </row>
    <row r="29" spans="1:9" ht="11.25">
      <c r="A29" s="444"/>
      <c r="C29" s="314"/>
      <c r="E29" s="314"/>
      <c r="I29" s="443"/>
    </row>
    <row r="30" spans="1:9" ht="11.25">
      <c r="A30" s="444"/>
      <c r="B30" s="314">
        <f>IF(Design!H77=0,"",CONCATENATE(Design!H77,"xSandcaster battery: ",Tables!E645,":",Tables!E646," ",Design!G77," canisters."))</f>
      </c>
      <c r="E30" s="314"/>
      <c r="F30" s="314">
        <f>IF(Design!E73=0,"",CONCATENATE(Design!G73,"xDamper battery +",Tables!E648))</f>
      </c>
      <c r="I30" s="443"/>
    </row>
    <row r="31" spans="1:9" ht="11.25">
      <c r="A31" s="444"/>
      <c r="B31" s="314">
        <f>IF(Design!E71=0,"",CONCATENATE("Meson Screen: ",Design!E71,"x",Tables!E649,IF(Design!E72=0,"",CONCATENATE(",",Design!E72,"x",VLOOKUP(Design!F72,Tables!$A$112:$B$137,2)))))</f>
      </c>
      <c r="C31" s="314"/>
      <c r="E31" s="314"/>
      <c r="F31" s="314">
        <f>IF(Design!E68=0,"",CONCATENATE("Black Globe: ",Design!E68,"x",VLOOKUP(Design!F68,Tables!$A$175:$B$184,2),IF(Design!E70=0,"",CONCATENATE(",",Design!E70,"x",VLOOKUP(Design!F70,Tables!$A$175:$B$184,2)))))</f>
      </c>
      <c r="I31" s="443"/>
    </row>
    <row r="32" spans="1:9" ht="11.25">
      <c r="A32" s="444"/>
      <c r="I32" s="443"/>
    </row>
    <row r="33" spans="1:9" ht="11.25">
      <c r="A33" s="444"/>
      <c r="B33" s="314">
        <f>IF(Design!$E54=0,"",CONCATENATE(Design!$E54,"x",Las1!$D$4,": ",Las1!$D$50))</f>
      </c>
      <c r="F33" s="314">
        <f>IF(Design!$E55=0,"",CONCATENATE(Design!$E55,"x",Las2!$D$4,": ",Las2!$D$50))</f>
      </c>
      <c r="I33" s="443"/>
    </row>
    <row r="34" spans="1:9" ht="11.25">
      <c r="A34" s="444"/>
      <c r="B34" s="314">
        <f>IF(Design!$E56=0,"",CONCATENATE(Design!$E56,"x",Las3!$D$4,": ",Las3!$D$50))</f>
      </c>
      <c r="F34" s="314">
        <f>IF(Design!$E57=0,"",CONCATENATE(Design!$E57,"x",Las4!$D$4,": ",Las4!$D$50))</f>
      </c>
      <c r="I34" s="443"/>
    </row>
    <row r="35" spans="1:9" ht="11.25">
      <c r="A35" s="444"/>
      <c r="B35" s="314">
        <f>IF(Design!E58=0,"",CONCATENATE(Design!E58,"x",Mis1!D$4,": ",Mis1!D$86))</f>
      </c>
      <c r="F35" s="314">
        <f>IF(Design!E59=0,"",CONCATENATE(Design!E59,"x",Mis2!D$4,": ",Mis2!D$86))</f>
      </c>
      <c r="I35" s="443"/>
    </row>
    <row r="36" spans="1:9" ht="11.25">
      <c r="A36" s="444"/>
      <c r="B36" s="314">
        <f>IF(Design!$E$58=0,"",CONCATENATE("      ",ROUND((Mis1!$D$64+(Mis1!$D$65*Mis1!$D$64))/Mis1!$D$70,0)," salvos (",Mis1!$D$70," mis/ea). ",IF(Mis1!$D$89=0,"",CONCATENATE(ROUND((Mis1!$D$89)/Mis1!$D$70,0)," reloads in magazine."))))</f>
      </c>
      <c r="F36" s="314">
        <f>IF(Design!$E$59=0,"",CONCATENATE("      ",ROUND((Mis2!$D$64+(Mis2!$D$65*Mis2!$D$64))/Mis2!$D$70,0)," salvos (",Mis2!$D$70," mis/ea). ",IF(Mis2!$D$89=0,"",CONCATENATE(ROUND((Mis2!$D$89)/Mis2!$D$70,0)," reloads in magazine."))))</f>
      </c>
      <c r="I36" s="443"/>
    </row>
    <row r="37" spans="1:9" ht="11.25">
      <c r="A37" s="444"/>
      <c r="B37" s="314">
        <f>IF(Design!E60=0,"",CONCATENATE(Design!E60,"x",PA1!$D$4,": ",PA1!$D$50))</f>
      </c>
      <c r="F37" s="314">
        <f>IF(Design!E61=0,"",CONCATENATE(Design!E61,"x",PA2!$D$4,": ",PA2!$D$50))</f>
      </c>
      <c r="I37" s="443"/>
    </row>
    <row r="38" spans="1:9" ht="11.25">
      <c r="A38" s="444"/>
      <c r="B38" s="314">
        <f>IF(Design!E62=0,"",CONCATENATE(Design!E62,"x",Mes1!$D$4,": ",Mes1!$D$46))</f>
      </c>
      <c r="F38" s="314">
        <f>IF(Design!E63=0,"",CONCATENATE(Design!E63,"x",Mes2!$D$4,": ",Mes2!$D$46))</f>
      </c>
      <c r="I38" s="443"/>
    </row>
    <row r="39" spans="1:9" ht="11.25">
      <c r="A39" s="444"/>
      <c r="I39" s="443"/>
    </row>
    <row r="40" spans="1:9" ht="11.25">
      <c r="A40" s="444"/>
      <c r="B40" s="519" t="s">
        <v>596</v>
      </c>
      <c r="C40" s="519" t="s">
        <v>597</v>
      </c>
      <c r="D40" s="519" t="s">
        <v>598</v>
      </c>
      <c r="E40" s="507" t="s">
        <v>599</v>
      </c>
      <c r="F40" s="508"/>
      <c r="G40" s="508"/>
      <c r="H40" s="511"/>
      <c r="I40" s="443"/>
    </row>
    <row r="41" spans="1:9" ht="11.25">
      <c r="A41" s="444"/>
      <c r="B41" s="436"/>
      <c r="C41" s="436"/>
      <c r="D41" s="436"/>
      <c r="E41" s="9"/>
      <c r="H41" s="512"/>
      <c r="I41" s="443"/>
    </row>
    <row r="42" spans="1:9" ht="11.25">
      <c r="A42" s="444"/>
      <c r="B42" s="436"/>
      <c r="C42" s="518"/>
      <c r="D42" s="436"/>
      <c r="E42" s="471"/>
      <c r="H42" s="512"/>
      <c r="I42" s="443"/>
    </row>
    <row r="43" spans="1:9" ht="11.25">
      <c r="A43" s="444"/>
      <c r="B43" s="504"/>
      <c r="C43" s="515"/>
      <c r="D43" s="504"/>
      <c r="E43" s="496"/>
      <c r="F43" s="510"/>
      <c r="G43" s="510"/>
      <c r="H43" s="513"/>
      <c r="I43" s="443"/>
    </row>
    <row r="44" spans="1:9" ht="11.25">
      <c r="A44" s="444"/>
      <c r="I44" s="443"/>
    </row>
    <row r="45" spans="1:9" ht="11.25">
      <c r="A45" s="444"/>
      <c r="B45" s="521" t="s">
        <v>600</v>
      </c>
      <c r="C45" s="524"/>
      <c r="D45" s="526"/>
      <c r="E45" s="530" t="s">
        <v>601</v>
      </c>
      <c r="F45" s="534" t="s">
        <v>602</v>
      </c>
      <c r="G45" s="534" t="s">
        <v>603</v>
      </c>
      <c r="H45" s="534" t="s">
        <v>604</v>
      </c>
      <c r="I45" s="443"/>
    </row>
    <row r="46" spans="1:9" ht="11.25">
      <c r="A46" s="444"/>
      <c r="B46" s="522" t="s">
        <v>605</v>
      </c>
      <c r="C46" s="520" t="s">
        <v>606</v>
      </c>
      <c r="D46" s="527" t="s">
        <v>607</v>
      </c>
      <c r="E46" s="531" t="s">
        <v>608</v>
      </c>
      <c r="F46" s="532" t="s">
        <v>609</v>
      </c>
      <c r="G46" s="532" t="s">
        <v>610</v>
      </c>
      <c r="H46" s="538" t="s">
        <v>611</v>
      </c>
      <c r="I46" s="443"/>
    </row>
    <row r="47" spans="1:9" ht="11.25">
      <c r="A47" s="444"/>
      <c r="B47" s="444" t="s">
        <v>612</v>
      </c>
      <c r="C47" s="436" t="s">
        <v>613</v>
      </c>
      <c r="D47" s="528">
        <v>0</v>
      </c>
      <c r="E47" s="532" t="s">
        <v>614</v>
      </c>
      <c r="F47" s="532" t="s">
        <v>615</v>
      </c>
      <c r="G47" s="532" t="s">
        <v>616</v>
      </c>
      <c r="H47" s="539" t="s">
        <v>617</v>
      </c>
      <c r="I47" s="443"/>
    </row>
    <row r="48" spans="1:9" ht="11.25">
      <c r="A48" s="444"/>
      <c r="B48" s="444" t="s">
        <v>618</v>
      </c>
      <c r="C48" s="436" t="s">
        <v>619</v>
      </c>
      <c r="D48" s="528" t="s">
        <v>620</v>
      </c>
      <c r="E48" s="532" t="s">
        <v>621</v>
      </c>
      <c r="F48" s="532" t="s">
        <v>622</v>
      </c>
      <c r="G48" s="532" t="s">
        <v>623</v>
      </c>
      <c r="H48" s="539" t="s">
        <v>624</v>
      </c>
      <c r="I48" s="443"/>
    </row>
    <row r="49" spans="1:9" ht="11.25">
      <c r="A49" s="444"/>
      <c r="B49" s="444" t="s">
        <v>625</v>
      </c>
      <c r="C49" s="436" t="s">
        <v>626</v>
      </c>
      <c r="D49" s="528" t="s">
        <v>627</v>
      </c>
      <c r="E49" s="532" t="s">
        <v>628</v>
      </c>
      <c r="F49" s="532" t="s">
        <v>629</v>
      </c>
      <c r="G49" s="532" t="s">
        <v>630</v>
      </c>
      <c r="H49" s="539" t="s">
        <v>631</v>
      </c>
      <c r="I49" s="443"/>
    </row>
    <row r="50" spans="1:9" ht="11.25">
      <c r="A50" s="444"/>
      <c r="B50" s="444" t="s">
        <v>632</v>
      </c>
      <c r="C50" s="436" t="s">
        <v>633</v>
      </c>
      <c r="D50" s="528" t="s">
        <v>634</v>
      </c>
      <c r="E50" s="532" t="s">
        <v>635</v>
      </c>
      <c r="F50" s="532" t="s">
        <v>636</v>
      </c>
      <c r="G50" s="532" t="s">
        <v>637</v>
      </c>
      <c r="H50" s="539" t="s">
        <v>638</v>
      </c>
      <c r="I50" s="443"/>
    </row>
    <row r="51" spans="1:9" ht="11.25">
      <c r="A51" s="444"/>
      <c r="B51" s="444" t="s">
        <v>639</v>
      </c>
      <c r="C51" s="436" t="s">
        <v>640</v>
      </c>
      <c r="D51" s="528" t="s">
        <v>641</v>
      </c>
      <c r="E51" s="532" t="s">
        <v>642</v>
      </c>
      <c r="F51" s="532" t="s">
        <v>643</v>
      </c>
      <c r="G51" s="533" t="s">
        <v>644</v>
      </c>
      <c r="H51" s="539" t="s">
        <v>645</v>
      </c>
      <c r="I51" s="443"/>
    </row>
    <row r="52" spans="1:9" ht="11.25">
      <c r="A52" s="444"/>
      <c r="B52" s="444" t="s">
        <v>646</v>
      </c>
      <c r="C52" s="436" t="s">
        <v>647</v>
      </c>
      <c r="D52" s="528" t="s">
        <v>648</v>
      </c>
      <c r="E52" s="532" t="s">
        <v>649</v>
      </c>
      <c r="F52" s="532" t="s">
        <v>650</v>
      </c>
      <c r="G52" s="535" t="s">
        <v>651</v>
      </c>
      <c r="H52" s="539" t="s">
        <v>652</v>
      </c>
      <c r="I52" s="443"/>
    </row>
    <row r="53" spans="1:9" ht="11.25">
      <c r="A53" s="444"/>
      <c r="B53" s="444" t="s">
        <v>653</v>
      </c>
      <c r="C53" s="436" t="s">
        <v>654</v>
      </c>
      <c r="D53" s="528" t="s">
        <v>655</v>
      </c>
      <c r="E53" s="532" t="s">
        <v>656</v>
      </c>
      <c r="F53" s="532" t="s">
        <v>657</v>
      </c>
      <c r="G53" s="536" t="s">
        <v>658</v>
      </c>
      <c r="H53" s="539" t="s">
        <v>659</v>
      </c>
      <c r="I53" s="443"/>
    </row>
    <row r="54" spans="1:9" ht="11.25">
      <c r="A54" s="444"/>
      <c r="B54" s="523" t="s">
        <v>660</v>
      </c>
      <c r="C54" s="525"/>
      <c r="D54" s="529"/>
      <c r="E54" s="533" t="s">
        <v>661</v>
      </c>
      <c r="F54" s="532" t="s">
        <v>662</v>
      </c>
      <c r="G54" s="536" t="s">
        <v>663</v>
      </c>
      <c r="H54" s="539" t="s">
        <v>664</v>
      </c>
      <c r="I54" s="443"/>
    </row>
    <row r="55" spans="1:9" ht="11.25">
      <c r="A55" s="444"/>
      <c r="C55" s="314"/>
      <c r="E55" s="314"/>
      <c r="F55" s="532" t="s">
        <v>665</v>
      </c>
      <c r="G55" s="536" t="s">
        <v>666</v>
      </c>
      <c r="H55" s="539" t="s">
        <v>667</v>
      </c>
      <c r="I55" s="443"/>
    </row>
    <row r="56" spans="1:9" ht="11.25">
      <c r="A56" s="444"/>
      <c r="C56" s="314"/>
      <c r="E56" s="314"/>
      <c r="F56" s="532" t="s">
        <v>668</v>
      </c>
      <c r="G56" s="536" t="s">
        <v>669</v>
      </c>
      <c r="H56" s="539" t="s">
        <v>670</v>
      </c>
      <c r="I56" s="443"/>
    </row>
    <row r="57" spans="1:9" ht="11.25">
      <c r="A57" s="444"/>
      <c r="B57" s="487" t="s">
        <v>671</v>
      </c>
      <c r="C57" s="314"/>
      <c r="E57" s="314"/>
      <c r="F57" s="533" t="s">
        <v>672</v>
      </c>
      <c r="G57" s="537" t="s">
        <v>673</v>
      </c>
      <c r="H57" s="539" t="s">
        <v>674</v>
      </c>
      <c r="I57" s="443"/>
    </row>
    <row r="58" spans="1:9" ht="11.25">
      <c r="A58" s="444"/>
      <c r="B58" s="487" t="s">
        <v>675</v>
      </c>
      <c r="C58" s="314"/>
      <c r="E58" s="314"/>
      <c r="H58" s="539" t="s">
        <v>676</v>
      </c>
      <c r="I58" s="443"/>
    </row>
    <row r="59" spans="1:9" ht="11.25">
      <c r="A59" s="444"/>
      <c r="B59" s="314" t="s">
        <v>677</v>
      </c>
      <c r="C59" s="314"/>
      <c r="E59" s="314"/>
      <c r="H59" s="540" t="s">
        <v>678</v>
      </c>
      <c r="I59" s="443"/>
    </row>
    <row r="60" spans="1:9" ht="11.25">
      <c r="A60" s="445"/>
      <c r="B60" s="446"/>
      <c r="C60" s="490"/>
      <c r="D60" s="446"/>
      <c r="E60" s="490"/>
      <c r="F60" s="446"/>
      <c r="G60" s="446"/>
      <c r="H60" s="446"/>
      <c r="I60" s="44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16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1484375" style="314" customWidth="1"/>
    <col min="2" max="2" width="8.7109375" style="314" customWidth="1"/>
    <col min="3" max="3" width="13.7109375" style="314" customWidth="1"/>
    <col min="4" max="6" width="16.7109375" style="371" customWidth="1"/>
    <col min="7" max="7" width="1.1484375" style="314" customWidth="1"/>
    <col min="8" max="255" width="9.140625" style="314" customWidth="1"/>
  </cols>
  <sheetData>
    <row r="1" spans="1:29" ht="18">
      <c r="A1" s="320"/>
      <c r="B1" s="375" t="s">
        <v>679</v>
      </c>
      <c r="C1" s="322"/>
      <c r="D1" s="323"/>
      <c r="E1" s="323"/>
      <c r="F1" s="323"/>
      <c r="G1" s="324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1:29" ht="15.75">
      <c r="A2" s="325"/>
      <c r="B2" s="317" t="str">
        <f>CONCATENATE(Design!D4,", ",Design!D5," class ",Design!D6)</f>
        <v>name, class class type</v>
      </c>
      <c r="C2" s="318"/>
      <c r="D2" s="319"/>
      <c r="E2" s="319"/>
      <c r="F2" s="319"/>
      <c r="G2" s="326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1:29" ht="12.75">
      <c r="A3" s="325"/>
      <c r="B3" s="318"/>
      <c r="C3" s="318"/>
      <c r="D3" s="319"/>
      <c r="E3" s="319"/>
      <c r="F3" s="319"/>
      <c r="G3" s="326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1:29" ht="12.75">
      <c r="A4" s="325"/>
      <c r="B4" s="372" t="s">
        <v>680</v>
      </c>
      <c r="C4" s="322"/>
      <c r="D4" s="323"/>
      <c r="E4" s="323"/>
      <c r="F4" s="327"/>
      <c r="G4" s="326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</row>
    <row r="5" spans="1:29" ht="12.75">
      <c r="A5" s="325"/>
      <c r="B5" s="328"/>
      <c r="C5" s="329" t="s">
        <v>681</v>
      </c>
      <c r="D5" s="330">
        <v>0.2</v>
      </c>
      <c r="E5" s="331" t="s">
        <v>682</v>
      </c>
      <c r="F5" s="332">
        <v>6600</v>
      </c>
      <c r="G5" s="326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</row>
    <row r="6" spans="1:29" ht="12.75">
      <c r="A6" s="325"/>
      <c r="B6" s="328"/>
      <c r="C6" s="329" t="s">
        <v>683</v>
      </c>
      <c r="D6" s="333">
        <v>240</v>
      </c>
      <c r="E6" s="331" t="s">
        <v>684</v>
      </c>
      <c r="F6" s="332">
        <v>5500</v>
      </c>
      <c r="G6" s="326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</row>
    <row r="7" spans="1:29" ht="12.75">
      <c r="A7" s="325"/>
      <c r="B7" s="328"/>
      <c r="C7" s="329" t="s">
        <v>685</v>
      </c>
      <c r="D7" s="333">
        <v>25</v>
      </c>
      <c r="E7" s="331" t="s">
        <v>686</v>
      </c>
      <c r="F7" s="332">
        <v>4400</v>
      </c>
      <c r="G7" s="326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</row>
    <row r="8" spans="1:29" ht="12.75">
      <c r="A8" s="325"/>
      <c r="B8" s="328"/>
      <c r="C8" s="329" t="s">
        <v>687</v>
      </c>
      <c r="D8" s="330">
        <v>0.5</v>
      </c>
      <c r="E8" s="331" t="s">
        <v>688</v>
      </c>
      <c r="F8" s="332">
        <v>4400</v>
      </c>
      <c r="G8" s="326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</row>
    <row r="9" spans="1:29" ht="12.75">
      <c r="A9" s="325"/>
      <c r="B9" s="328"/>
      <c r="C9" s="329" t="s">
        <v>689</v>
      </c>
      <c r="D9" s="334">
        <v>0.001</v>
      </c>
      <c r="E9" s="331" t="s">
        <v>690</v>
      </c>
      <c r="F9" s="332">
        <v>1100</v>
      </c>
      <c r="G9" s="326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</row>
    <row r="10" spans="1:29" ht="12.75">
      <c r="A10" s="325"/>
      <c r="B10" s="328"/>
      <c r="C10" s="329" t="s">
        <v>691</v>
      </c>
      <c r="D10" s="335">
        <v>500</v>
      </c>
      <c r="E10" s="331" t="s">
        <v>692</v>
      </c>
      <c r="F10" s="332">
        <v>1100</v>
      </c>
      <c r="G10" s="326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</row>
    <row r="11" spans="1:29" ht="12.75">
      <c r="A11" s="325"/>
      <c r="B11" s="328"/>
      <c r="C11" s="329" t="s">
        <v>693</v>
      </c>
      <c r="D11" s="335">
        <v>100</v>
      </c>
      <c r="E11" s="331" t="s">
        <v>694</v>
      </c>
      <c r="F11" s="332">
        <v>3300</v>
      </c>
      <c r="G11" s="326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</row>
    <row r="12" spans="1:29" ht="12.75">
      <c r="A12" s="325"/>
      <c r="B12" s="328"/>
      <c r="C12" s="329" t="s">
        <v>695</v>
      </c>
      <c r="D12" s="335">
        <v>2000</v>
      </c>
      <c r="E12" s="331" t="s">
        <v>696</v>
      </c>
      <c r="F12" s="332">
        <v>1100</v>
      </c>
      <c r="G12" s="326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</row>
    <row r="13" spans="1:29" ht="12.75">
      <c r="A13" s="325"/>
      <c r="B13" s="328"/>
      <c r="C13" s="329" t="s">
        <v>697</v>
      </c>
      <c r="D13" s="335">
        <v>200</v>
      </c>
      <c r="E13" s="331" t="s">
        <v>698</v>
      </c>
      <c r="F13" s="332">
        <v>6600</v>
      </c>
      <c r="G13" s="326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</row>
    <row r="14" spans="1:29" ht="12.75">
      <c r="A14" s="325"/>
      <c r="B14" s="328"/>
      <c r="C14" s="329" t="s">
        <v>699</v>
      </c>
      <c r="D14" s="335">
        <v>1000</v>
      </c>
      <c r="E14" s="331" t="s">
        <v>700</v>
      </c>
      <c r="F14" s="332">
        <v>2200</v>
      </c>
      <c r="G14" s="326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</row>
    <row r="15" spans="1:29" ht="12.75">
      <c r="A15" s="325"/>
      <c r="B15" s="328"/>
      <c r="C15" s="329" t="s">
        <v>701</v>
      </c>
      <c r="D15" s="330">
        <v>0</v>
      </c>
      <c r="E15" s="331" t="s">
        <v>702</v>
      </c>
      <c r="F15" s="332">
        <v>2200</v>
      </c>
      <c r="G15" s="326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</row>
    <row r="16" spans="1:29" ht="12.75">
      <c r="A16" s="325"/>
      <c r="B16" s="328"/>
      <c r="C16" s="329" t="s">
        <v>703</v>
      </c>
      <c r="D16" s="335">
        <v>2000</v>
      </c>
      <c r="E16" s="331" t="s">
        <v>704</v>
      </c>
      <c r="F16" s="332">
        <v>10000</v>
      </c>
      <c r="G16" s="326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</row>
    <row r="17" spans="1:29" ht="12.75">
      <c r="A17" s="325"/>
      <c r="B17" s="328"/>
      <c r="C17" s="329" t="s">
        <v>705</v>
      </c>
      <c r="D17" s="336">
        <v>5</v>
      </c>
      <c r="E17" s="331" t="s">
        <v>706</v>
      </c>
      <c r="F17" s="337">
        <v>1</v>
      </c>
      <c r="G17" s="326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</row>
    <row r="18" spans="1:29" ht="12.75">
      <c r="A18" s="325"/>
      <c r="B18" s="328"/>
      <c r="C18" s="338" t="s">
        <v>707</v>
      </c>
      <c r="D18" s="335">
        <v>25000</v>
      </c>
      <c r="E18" s="331" t="s">
        <v>708</v>
      </c>
      <c r="F18" s="332">
        <v>8000</v>
      </c>
      <c r="G18" s="326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</row>
    <row r="19" spans="1:29" ht="12.75">
      <c r="A19" s="325"/>
      <c r="B19" s="328"/>
      <c r="C19" s="329" t="s">
        <v>709</v>
      </c>
      <c r="D19" s="335">
        <v>900</v>
      </c>
      <c r="E19" s="331" t="s">
        <v>710</v>
      </c>
      <c r="F19" s="339">
        <v>0.5</v>
      </c>
      <c r="G19" s="326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</row>
    <row r="20" spans="1:29" ht="12.75">
      <c r="A20" s="325"/>
      <c r="B20" s="328"/>
      <c r="C20" s="329" t="s">
        <v>711</v>
      </c>
      <c r="D20" s="335">
        <v>9000</v>
      </c>
      <c r="E20" s="331" t="s">
        <v>712</v>
      </c>
      <c r="F20" s="332">
        <v>1000</v>
      </c>
      <c r="G20" s="326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</row>
    <row r="21" spans="1:29" ht="12.75">
      <c r="A21" s="325"/>
      <c r="B21" s="340"/>
      <c r="C21" s="341" t="s">
        <v>713</v>
      </c>
      <c r="D21" s="342">
        <v>900</v>
      </c>
      <c r="E21" s="343" t="s">
        <v>714</v>
      </c>
      <c r="F21" s="452">
        <v>0.1</v>
      </c>
      <c r="G21" s="326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</row>
    <row r="22" spans="1:29" ht="12.75">
      <c r="A22" s="325"/>
      <c r="B22" s="318"/>
      <c r="C22" s="318"/>
      <c r="D22" s="319"/>
      <c r="E22" s="319"/>
      <c r="F22" s="319"/>
      <c r="G22" s="326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</row>
    <row r="23" spans="1:29" ht="12.75">
      <c r="A23" s="325"/>
      <c r="B23" s="345" t="s">
        <v>715</v>
      </c>
      <c r="C23" s="346"/>
      <c r="D23" s="347">
        <f>Design!O259*1000000</f>
        <v>25055602.459999997</v>
      </c>
      <c r="E23" s="319"/>
      <c r="F23" s="319"/>
      <c r="G23" s="326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</row>
    <row r="24" spans="1:29" ht="12.75">
      <c r="A24" s="325"/>
      <c r="B24" s="348" t="s">
        <v>716</v>
      </c>
      <c r="C24" s="338"/>
      <c r="D24" s="349">
        <f>D5*D23</f>
        <v>5011120.492</v>
      </c>
      <c r="E24" s="319"/>
      <c r="F24" s="319"/>
      <c r="G24" s="326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</row>
    <row r="25" spans="1:29" ht="12.75">
      <c r="A25" s="325"/>
      <c r="B25" s="350" t="s">
        <v>717</v>
      </c>
      <c r="C25" s="351"/>
      <c r="D25" s="352">
        <f>(D19*Tables!E657)+(D20*(Design!E222+Design!E223))+(D21*Design!E224)</f>
        <v>0</v>
      </c>
      <c r="E25" s="319"/>
      <c r="F25" s="319"/>
      <c r="G25" s="326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</row>
    <row r="26" spans="1:29" ht="12.75">
      <c r="A26" s="325"/>
      <c r="B26" s="318"/>
      <c r="C26" s="318"/>
      <c r="D26" s="319"/>
      <c r="E26" s="319"/>
      <c r="F26" s="319"/>
      <c r="G26" s="326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</row>
    <row r="27" spans="1:29" ht="12.75">
      <c r="A27" s="325"/>
      <c r="B27" s="372" t="s">
        <v>718</v>
      </c>
      <c r="C27" s="321"/>
      <c r="D27" s="353"/>
      <c r="E27" s="353"/>
      <c r="F27" s="354"/>
      <c r="G27" s="326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</row>
    <row r="28" spans="1:29" ht="12.75">
      <c r="A28" s="325"/>
      <c r="B28" s="376" t="s">
        <v>719</v>
      </c>
      <c r="C28" s="318"/>
      <c r="D28" s="373" t="s">
        <v>720</v>
      </c>
      <c r="E28" s="373" t="s">
        <v>721</v>
      </c>
      <c r="F28" s="374" t="s">
        <v>722</v>
      </c>
      <c r="G28" s="326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</row>
    <row r="29" spans="1:29" ht="12.75">
      <c r="A29" s="325"/>
      <c r="B29" s="356"/>
      <c r="C29" s="357" t="s">
        <v>723</v>
      </c>
      <c r="D29" s="358">
        <f>IF(Design!D11&gt;0,D44*D8,((D23/D6)/2)*D7)</f>
        <v>1304979.2947916666</v>
      </c>
      <c r="E29" s="358">
        <f>IF(Design!D11&gt;0,E44*D8,((D23/D6)/2)*D7)</f>
        <v>1304979.2947916666</v>
      </c>
      <c r="F29" s="332">
        <f>IF(Design!D11&gt;0,F44*D8,((D23/D6)/2)*D7)</f>
        <v>1304979.2947916666</v>
      </c>
      <c r="G29" s="326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</row>
    <row r="30" spans="1:29" ht="12.75">
      <c r="A30" s="325"/>
      <c r="B30" s="356"/>
      <c r="C30" s="357" t="s">
        <v>724</v>
      </c>
      <c r="D30" s="358">
        <f>(D9*D23)</f>
        <v>25055.60246</v>
      </c>
      <c r="E30" s="358">
        <f>D30</f>
        <v>25055.60246</v>
      </c>
      <c r="F30" s="332">
        <f>D30</f>
        <v>25055.60246</v>
      </c>
      <c r="G30" s="326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</row>
    <row r="31" spans="1:29" ht="12.75">
      <c r="A31" s="325"/>
      <c r="B31" s="356"/>
      <c r="C31" s="357" t="s">
        <v>725</v>
      </c>
      <c r="D31" s="358">
        <f>IF(Design!E202&gt;0,D11*(Tables!K22/14),D10*(Tables!K22/14))*D7</f>
        <v>125000</v>
      </c>
      <c r="E31" s="358">
        <f>D31</f>
        <v>125000</v>
      </c>
      <c r="F31" s="332">
        <f>D31</f>
        <v>125000</v>
      </c>
      <c r="G31" s="326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</row>
    <row r="32" spans="1:29" ht="12.75">
      <c r="A32" s="325"/>
      <c r="B32" s="356"/>
      <c r="C32" s="357" t="s">
        <v>726</v>
      </c>
      <c r="D32" s="358">
        <f>((F5*Design!E206)+(F6*Design!E207)+(F7*Design!E208)+(F8*Design!E209)+(F9*Design!E210)+(F10*Design!E211)+(F11*Design!E212)+(F12*Design!E213)+(F13*Design!E214)+(F14*Design!E215)+(F15*Design!E217))*12</f>
        <v>277200</v>
      </c>
      <c r="E32" s="358">
        <f>D32</f>
        <v>277200</v>
      </c>
      <c r="F32" s="332">
        <f>D32</f>
        <v>277200</v>
      </c>
      <c r="G32" s="326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</row>
    <row r="33" spans="1:29" ht="12.75">
      <c r="A33" s="325"/>
      <c r="B33" s="356"/>
      <c r="C33" s="357" t="s">
        <v>329</v>
      </c>
      <c r="D33" s="358">
        <f>Tables!E654*$D$12*D7</f>
        <v>200000</v>
      </c>
      <c r="E33" s="358">
        <f>Tables!E655*$D$12*D7</f>
        <v>200000</v>
      </c>
      <c r="F33" s="332">
        <f>Tables!E656*$D$12*D7</f>
        <v>200000</v>
      </c>
      <c r="G33" s="326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</row>
    <row r="34" spans="1:29" ht="12.75">
      <c r="A34" s="325"/>
      <c r="B34" s="356"/>
      <c r="C34" s="357" t="s">
        <v>727</v>
      </c>
      <c r="D34" s="358">
        <f>D13*D7</f>
        <v>5000</v>
      </c>
      <c r="E34" s="358">
        <f>D34</f>
        <v>5000</v>
      </c>
      <c r="F34" s="332">
        <f>D34</f>
        <v>5000</v>
      </c>
      <c r="G34" s="326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</row>
    <row r="35" spans="1:29" ht="12.75">
      <c r="A35" s="325"/>
      <c r="B35" s="356"/>
      <c r="C35" s="357" t="s">
        <v>728</v>
      </c>
      <c r="D35" s="358">
        <f>SUM(D29:D34)</f>
        <v>1937234.8972516665</v>
      </c>
      <c r="E35" s="358">
        <f>SUM(E29:E34)</f>
        <v>1937234.8972516665</v>
      </c>
      <c r="F35" s="332">
        <f>SUM(F29:F34)</f>
        <v>1937234.8972516665</v>
      </c>
      <c r="G35" s="326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</row>
    <row r="36" spans="1:29" ht="12.75">
      <c r="A36" s="325"/>
      <c r="B36" s="325"/>
      <c r="C36" s="318"/>
      <c r="D36" s="318"/>
      <c r="E36" s="318"/>
      <c r="F36" s="359"/>
      <c r="G36" s="326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</row>
    <row r="37" spans="1:29" ht="12.75">
      <c r="A37" s="325"/>
      <c r="B37" s="376" t="s">
        <v>729</v>
      </c>
      <c r="C37" s="318"/>
      <c r="D37" s="373" t="s">
        <v>720</v>
      </c>
      <c r="E37" s="373" t="s">
        <v>721</v>
      </c>
      <c r="F37" s="374" t="s">
        <v>722</v>
      </c>
      <c r="G37" s="326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</row>
    <row r="38" spans="1:29" ht="12.75">
      <c r="A38" s="325"/>
      <c r="B38" s="356"/>
      <c r="C38" s="357" t="s">
        <v>730</v>
      </c>
      <c r="D38" s="358">
        <f>Design!E222*F16*D7</f>
        <v>0</v>
      </c>
      <c r="E38" s="358">
        <f>ROUND(Design!E222*0.8,0)*F16*D7</f>
        <v>0</v>
      </c>
      <c r="F38" s="332">
        <f>ROUND(Design!E222*0.5,0)*F16*D7</f>
        <v>0</v>
      </c>
      <c r="G38" s="326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</row>
    <row r="39" spans="1:29" ht="12.75">
      <c r="A39" s="325"/>
      <c r="B39" s="356"/>
      <c r="C39" s="357" t="s">
        <v>731</v>
      </c>
      <c r="D39" s="358">
        <f>Design!E223*F18*D7</f>
        <v>0</v>
      </c>
      <c r="E39" s="358">
        <f>ROUND(Design!E223*0.8,0)*F18*D7</f>
        <v>0</v>
      </c>
      <c r="F39" s="332">
        <f>ROUND(Design!E223*0.5,0)*F18*D7</f>
        <v>0</v>
      </c>
      <c r="G39" s="326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</row>
    <row r="40" spans="1:29" ht="12.75">
      <c r="A40" s="325"/>
      <c r="B40" s="356"/>
      <c r="C40" s="357" t="s">
        <v>732</v>
      </c>
      <c r="D40" s="358">
        <f>Design!E224*F20*D7</f>
        <v>0</v>
      </c>
      <c r="E40" s="358">
        <f>ROUND(Design!E224*0.8,0)*F20*D7</f>
        <v>0</v>
      </c>
      <c r="F40" s="332">
        <f>ROUND(Design!E224*0.5,0)*F20*D7</f>
        <v>0</v>
      </c>
      <c r="G40" s="326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</row>
    <row r="41" spans="1:29" ht="12.75">
      <c r="A41" s="325"/>
      <c r="B41" s="356"/>
      <c r="C41" s="357" t="s">
        <v>733</v>
      </c>
      <c r="D41" s="358">
        <f>(Tables!E657-Tables!E660)*$D14*D7</f>
        <v>0</v>
      </c>
      <c r="E41" s="358">
        <f>(Tables!E658-Tables!E661)*$D14*D7</f>
        <v>0</v>
      </c>
      <c r="F41" s="332">
        <f>(Tables!E659-Tables!E662)*$D14*D7</f>
        <v>0</v>
      </c>
      <c r="G41" s="326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</row>
    <row r="42" spans="1:29" ht="12.75">
      <c r="A42" s="325"/>
      <c r="B42" s="356"/>
      <c r="C42" s="357" t="s">
        <v>734</v>
      </c>
      <c r="D42" s="358">
        <f>$D16*Tables!E660*D7</f>
        <v>0</v>
      </c>
      <c r="E42" s="358">
        <f>$D16*Tables!E661*D7</f>
        <v>0</v>
      </c>
      <c r="F42" s="332">
        <f>$D16*Tables!E662*D7</f>
        <v>0</v>
      </c>
      <c r="G42" s="326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</row>
    <row r="43" spans="1:29" ht="12.75">
      <c r="A43" s="325"/>
      <c r="B43" s="356"/>
      <c r="C43" s="357" t="s">
        <v>735</v>
      </c>
      <c r="D43" s="358">
        <f>IF(Design!$D11&gt;0,$D18,0)*D7</f>
        <v>0</v>
      </c>
      <c r="E43" s="358">
        <f>IF(Design!$D11&gt;0,$D18,0)*D7</f>
        <v>0</v>
      </c>
      <c r="F43" s="332">
        <f>IF(Design!$D11&gt;0,$D18,0)*D7</f>
        <v>0</v>
      </c>
      <c r="G43" s="326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</row>
    <row r="44" spans="1:29" ht="12.75">
      <c r="A44" s="325"/>
      <c r="B44" s="356"/>
      <c r="C44" s="357" t="s">
        <v>728</v>
      </c>
      <c r="D44" s="358">
        <f>SUM(D38:D43)</f>
        <v>0</v>
      </c>
      <c r="E44" s="358">
        <f>SUM(E38:E43)</f>
        <v>0</v>
      </c>
      <c r="F44" s="332">
        <f>SUM(F38:F43)</f>
        <v>0</v>
      </c>
      <c r="G44" s="326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</row>
    <row r="45" spans="1:29" ht="12.75">
      <c r="A45" s="325"/>
      <c r="B45" s="325"/>
      <c r="C45" s="318"/>
      <c r="D45" s="319"/>
      <c r="E45" s="319"/>
      <c r="F45" s="355"/>
      <c r="G45" s="326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</row>
    <row r="46" spans="1:29" ht="12.75">
      <c r="A46" s="325"/>
      <c r="B46" s="360" t="s">
        <v>736</v>
      </c>
      <c r="C46" s="361"/>
      <c r="D46" s="362">
        <f>D44-D35</f>
        <v>-1937234.8972516665</v>
      </c>
      <c r="E46" s="362">
        <f>E44-E35</f>
        <v>-1937234.8972516665</v>
      </c>
      <c r="F46" s="344">
        <f>F44-F35</f>
        <v>-1937234.8972516665</v>
      </c>
      <c r="G46" s="326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</row>
    <row r="47" spans="1:29" ht="12.75">
      <c r="A47" s="325"/>
      <c r="B47" s="363"/>
      <c r="C47" s="363"/>
      <c r="D47" s="364"/>
      <c r="E47" s="365"/>
      <c r="F47" s="365"/>
      <c r="G47" s="326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</row>
    <row r="48" spans="1:29" ht="12.75">
      <c r="A48" s="325"/>
      <c r="B48" s="366" t="s">
        <v>737</v>
      </c>
      <c r="C48" s="366"/>
      <c r="D48" s="365"/>
      <c r="E48" s="365"/>
      <c r="F48" s="365"/>
      <c r="G48" s="326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</row>
    <row r="49" spans="1:29" ht="12.75">
      <c r="A49" s="325"/>
      <c r="B49" s="366" t="s">
        <v>738</v>
      </c>
      <c r="C49" s="366"/>
      <c r="D49" s="365"/>
      <c r="E49" s="365"/>
      <c r="F49" s="365"/>
      <c r="G49" s="326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</row>
    <row r="50" spans="1:29" ht="12.75">
      <c r="A50" s="325"/>
      <c r="B50" s="366" t="s">
        <v>739</v>
      </c>
      <c r="C50" s="366"/>
      <c r="D50" s="365"/>
      <c r="E50" s="365"/>
      <c r="F50" s="365"/>
      <c r="G50" s="326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</row>
    <row r="51" spans="1:29" ht="12.75">
      <c r="A51" s="325"/>
      <c r="B51" s="366" t="s">
        <v>740</v>
      </c>
      <c r="C51" s="366"/>
      <c r="D51" s="365"/>
      <c r="E51" s="365"/>
      <c r="F51" s="365"/>
      <c r="G51" s="326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</row>
    <row r="52" spans="1:29" ht="12.75">
      <c r="A52" s="367"/>
      <c r="B52" s="368"/>
      <c r="C52" s="368"/>
      <c r="D52" s="369"/>
      <c r="E52" s="369"/>
      <c r="F52" s="369"/>
      <c r="G52" s="370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</row>
    <row r="53" spans="1:29" ht="12.75">
      <c r="A53" s="318"/>
      <c r="B53" s="318"/>
      <c r="C53" s="318"/>
      <c r="D53" s="319"/>
      <c r="E53" s="319"/>
      <c r="F53" s="319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</row>
    <row r="54" spans="1:29" ht="12.75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</row>
    <row r="55" spans="1:29" ht="12.75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</row>
    <row r="56" spans="1:29" ht="12.75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</row>
    <row r="57" spans="1:29" ht="12.75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</row>
    <row r="58" spans="1:29" ht="12.75">
      <c r="A58" s="318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</row>
    <row r="59" spans="1:29" ht="12.75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</row>
    <row r="60" spans="1:29" ht="12.75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</row>
    <row r="61" spans="1:29" ht="12.75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</row>
    <row r="62" spans="1:29" ht="12.75">
      <c r="A62" s="318"/>
      <c r="B62" s="318"/>
      <c r="C62" s="318"/>
      <c r="D62" s="319"/>
      <c r="E62" s="319"/>
      <c r="F62" s="319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</row>
    <row r="63" spans="1:29" ht="12.75">
      <c r="A63" s="318"/>
      <c r="B63" s="318"/>
      <c r="C63" s="318"/>
      <c r="D63" s="319"/>
      <c r="E63" s="319"/>
      <c r="F63" s="319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</row>
    <row r="64" spans="1:29" ht="12.75">
      <c r="A64" s="318"/>
      <c r="B64" s="318"/>
      <c r="C64" s="318"/>
      <c r="D64" s="319"/>
      <c r="E64" s="319"/>
      <c r="F64" s="319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</row>
    <row r="65" spans="1:29" ht="12.75">
      <c r="A65" s="318"/>
      <c r="B65" s="318"/>
      <c r="C65" s="318"/>
      <c r="D65" s="319"/>
      <c r="E65" s="319"/>
      <c r="F65" s="319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</row>
    <row r="66" spans="1:29" ht="12.75">
      <c r="A66" s="318"/>
      <c r="B66" s="318"/>
      <c r="C66" s="318"/>
      <c r="D66" s="319"/>
      <c r="E66" s="319"/>
      <c r="F66" s="319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</row>
    <row r="67" spans="1:29" ht="12.75">
      <c r="A67" s="318"/>
      <c r="B67" s="318"/>
      <c r="C67" s="318"/>
      <c r="D67" s="319"/>
      <c r="E67" s="319"/>
      <c r="F67" s="319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</row>
    <row r="68" spans="1:29" ht="12.75">
      <c r="A68" s="318"/>
      <c r="B68" s="318"/>
      <c r="C68" s="318"/>
      <c r="D68" s="319"/>
      <c r="E68" s="319"/>
      <c r="F68" s="319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</row>
    <row r="69" spans="1:29" ht="12.75">
      <c r="A69" s="318"/>
      <c r="B69" s="318"/>
      <c r="C69" s="318"/>
      <c r="D69" s="319"/>
      <c r="E69" s="319"/>
      <c r="F69" s="319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</row>
    <row r="70" spans="1:29" ht="12.75">
      <c r="A70" s="318"/>
      <c r="B70" s="318"/>
      <c r="C70" s="318"/>
      <c r="D70" s="319"/>
      <c r="E70" s="319"/>
      <c r="F70" s="319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</row>
    <row r="71" spans="1:29" ht="12.75">
      <c r="A71" s="318"/>
      <c r="B71" s="318"/>
      <c r="C71" s="318"/>
      <c r="D71" s="319"/>
      <c r="E71" s="319"/>
      <c r="F71" s="319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</row>
    <row r="72" spans="1:29" ht="12.75">
      <c r="A72" s="318"/>
      <c r="B72" s="318"/>
      <c r="C72" s="318"/>
      <c r="D72" s="319"/>
      <c r="E72" s="319"/>
      <c r="F72" s="319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</row>
    <row r="73" spans="1:29" ht="12.75">
      <c r="A73" s="318"/>
      <c r="B73" s="318"/>
      <c r="C73" s="318"/>
      <c r="D73" s="319"/>
      <c r="E73" s="319"/>
      <c r="F73" s="319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</row>
    <row r="74" spans="1:29" ht="12.75">
      <c r="A74" s="318"/>
      <c r="B74" s="318"/>
      <c r="C74" s="318"/>
      <c r="D74" s="319"/>
      <c r="E74" s="319"/>
      <c r="F74" s="319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</row>
    <row r="75" spans="1:29" ht="12.75">
      <c r="A75" s="318"/>
      <c r="B75" s="318"/>
      <c r="C75" s="318"/>
      <c r="D75" s="319"/>
      <c r="E75" s="319"/>
      <c r="F75" s="319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</row>
    <row r="76" spans="1:29" ht="12.75">
      <c r="A76" s="318"/>
      <c r="B76" s="318"/>
      <c r="C76" s="318"/>
      <c r="D76" s="319"/>
      <c r="E76" s="319"/>
      <c r="F76" s="319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</row>
    <row r="77" spans="1:29" ht="12.75">
      <c r="A77" s="318"/>
      <c r="B77" s="318"/>
      <c r="C77" s="318"/>
      <c r="D77" s="319"/>
      <c r="E77" s="319"/>
      <c r="F77" s="319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</row>
    <row r="78" spans="1:29" ht="12.75">
      <c r="A78" s="318"/>
      <c r="B78" s="318"/>
      <c r="C78" s="318"/>
      <c r="D78" s="319"/>
      <c r="E78" s="319"/>
      <c r="F78" s="319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</row>
    <row r="79" spans="1:29" ht="12.75">
      <c r="A79" s="318"/>
      <c r="B79" s="318"/>
      <c r="C79" s="318"/>
      <c r="D79" s="319"/>
      <c r="E79" s="319"/>
      <c r="F79" s="319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</row>
    <row r="80" spans="1:29" ht="12.75">
      <c r="A80" s="318"/>
      <c r="B80" s="318"/>
      <c r="C80" s="318"/>
      <c r="D80" s="319"/>
      <c r="E80" s="319"/>
      <c r="F80" s="319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</row>
    <row r="81" spans="1:29" ht="12.75">
      <c r="A81" s="318"/>
      <c r="B81" s="318"/>
      <c r="C81" s="318"/>
      <c r="D81" s="319"/>
      <c r="E81" s="319"/>
      <c r="F81" s="319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</row>
    <row r="82" spans="1:29" ht="12.75">
      <c r="A82" s="318"/>
      <c r="B82" s="318"/>
      <c r="C82" s="318"/>
      <c r="D82" s="319"/>
      <c r="E82" s="319"/>
      <c r="F82" s="319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</row>
    <row r="83" spans="1:29" ht="12.75">
      <c r="A83" s="318"/>
      <c r="B83" s="318"/>
      <c r="C83" s="318"/>
      <c r="D83" s="319"/>
      <c r="E83" s="319"/>
      <c r="F83" s="319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</row>
    <row r="84" spans="1:29" ht="12.75">
      <c r="A84" s="318"/>
      <c r="B84" s="318"/>
      <c r="C84" s="318"/>
      <c r="D84" s="319"/>
      <c r="E84" s="319"/>
      <c r="F84" s="319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</row>
    <row r="85" spans="1:29" ht="12.75">
      <c r="A85" s="318"/>
      <c r="B85" s="318"/>
      <c r="C85" s="318"/>
      <c r="D85" s="319"/>
      <c r="E85" s="319"/>
      <c r="F85" s="319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</row>
    <row r="86" spans="1:29" ht="12.75">
      <c r="A86" s="318"/>
      <c r="B86" s="318"/>
      <c r="C86" s="318"/>
      <c r="D86" s="319"/>
      <c r="E86" s="319"/>
      <c r="F86" s="319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</row>
    <row r="87" spans="1:29" ht="12.75">
      <c r="A87" s="318"/>
      <c r="B87" s="318"/>
      <c r="C87" s="318"/>
      <c r="D87" s="319"/>
      <c r="E87" s="319"/>
      <c r="F87" s="319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</row>
    <row r="88" spans="1:29" ht="12.75">
      <c r="A88" s="318"/>
      <c r="B88" s="318"/>
      <c r="C88" s="318"/>
      <c r="D88" s="319"/>
      <c r="E88" s="319"/>
      <c r="F88" s="319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</row>
    <row r="89" spans="1:29" ht="12.75">
      <c r="A89" s="318"/>
      <c r="B89" s="318"/>
      <c r="C89" s="318"/>
      <c r="D89" s="319"/>
      <c r="E89" s="319"/>
      <c r="F89" s="319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</row>
    <row r="90" spans="1:29" ht="12.75">
      <c r="A90" s="318"/>
      <c r="B90" s="318"/>
      <c r="C90" s="318"/>
      <c r="D90" s="319"/>
      <c r="E90" s="319"/>
      <c r="F90" s="319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</row>
    <row r="91" spans="1:29" ht="12.75">
      <c r="A91" s="318"/>
      <c r="B91" s="318"/>
      <c r="C91" s="318"/>
      <c r="D91" s="319"/>
      <c r="E91" s="319"/>
      <c r="F91" s="319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</row>
    <row r="92" spans="1:29" ht="12.75">
      <c r="A92" s="318"/>
      <c r="B92" s="318"/>
      <c r="C92" s="318"/>
      <c r="D92" s="319"/>
      <c r="E92" s="319"/>
      <c r="F92" s="319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</row>
    <row r="93" spans="1:29" ht="12.75">
      <c r="A93" s="318"/>
      <c r="B93" s="318"/>
      <c r="C93" s="318"/>
      <c r="D93" s="319"/>
      <c r="E93" s="319"/>
      <c r="F93" s="319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</row>
    <row r="94" spans="1:29" ht="12.75">
      <c r="A94" s="318"/>
      <c r="B94" s="318"/>
      <c r="C94" s="318"/>
      <c r="D94" s="319"/>
      <c r="E94" s="319"/>
      <c r="F94" s="319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</row>
    <row r="95" spans="1:29" ht="12.75">
      <c r="A95" s="318"/>
      <c r="B95" s="318"/>
      <c r="C95" s="318"/>
      <c r="D95" s="319"/>
      <c r="E95" s="319"/>
      <c r="F95" s="319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</row>
    <row r="96" spans="1:29" ht="12.75">
      <c r="A96" s="318"/>
      <c r="B96" s="318"/>
      <c r="C96" s="318"/>
      <c r="D96" s="319"/>
      <c r="E96" s="319"/>
      <c r="F96" s="319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</row>
    <row r="97" spans="1:29" ht="12.75">
      <c r="A97" s="318"/>
      <c r="B97" s="318"/>
      <c r="C97" s="318"/>
      <c r="D97" s="319"/>
      <c r="E97" s="319"/>
      <c r="F97" s="319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</row>
    <row r="98" spans="1:29" ht="12.75">
      <c r="A98" s="318"/>
      <c r="B98" s="318"/>
      <c r="C98" s="318"/>
      <c r="D98" s="319"/>
      <c r="E98" s="319"/>
      <c r="F98" s="319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</row>
    <row r="99" spans="1:29" ht="12.75">
      <c r="A99" s="318"/>
      <c r="B99" s="318"/>
      <c r="C99" s="318"/>
      <c r="D99" s="319"/>
      <c r="E99" s="319"/>
      <c r="F99" s="319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</row>
    <row r="100" spans="1:29" ht="12.75">
      <c r="A100" s="318"/>
      <c r="B100" s="318"/>
      <c r="C100" s="318"/>
      <c r="D100" s="319"/>
      <c r="E100" s="319"/>
      <c r="F100" s="319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</row>
    <row r="101" spans="1:29" ht="12.75">
      <c r="A101" s="318"/>
      <c r="B101" s="318"/>
      <c r="C101" s="318"/>
      <c r="D101" s="319"/>
      <c r="E101" s="319"/>
      <c r="F101" s="319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</row>
    <row r="102" spans="1:29" ht="12.75">
      <c r="A102" s="318"/>
      <c r="B102" s="318"/>
      <c r="C102" s="318"/>
      <c r="D102" s="319"/>
      <c r="E102" s="319"/>
      <c r="F102" s="319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</row>
    <row r="103" spans="1:29" ht="12.75">
      <c r="A103" s="318"/>
      <c r="B103" s="318"/>
      <c r="C103" s="318"/>
      <c r="D103" s="319"/>
      <c r="E103" s="319"/>
      <c r="F103" s="319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</row>
    <row r="104" spans="1:29" ht="12.75">
      <c r="A104" s="318"/>
      <c r="B104" s="318"/>
      <c r="C104" s="318"/>
      <c r="D104" s="319"/>
      <c r="E104" s="319"/>
      <c r="F104" s="319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</row>
    <row r="105" spans="1:29" ht="12.75">
      <c r="A105" s="318"/>
      <c r="B105" s="318"/>
      <c r="C105" s="318"/>
      <c r="D105" s="319"/>
      <c r="E105" s="319"/>
      <c r="F105" s="319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</row>
    <row r="106" spans="1:29" ht="12.75">
      <c r="A106" s="318"/>
      <c r="B106" s="318"/>
      <c r="C106" s="318"/>
      <c r="D106" s="319"/>
      <c r="E106" s="319"/>
      <c r="F106" s="319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</row>
    <row r="107" spans="1:29" ht="12.75">
      <c r="A107" s="318"/>
      <c r="B107" s="318"/>
      <c r="C107" s="318"/>
      <c r="D107" s="319"/>
      <c r="E107" s="319"/>
      <c r="F107" s="319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</row>
    <row r="108" spans="1:29" ht="12.75">
      <c r="A108" s="318"/>
      <c r="B108" s="318"/>
      <c r="C108" s="318"/>
      <c r="D108" s="319"/>
      <c r="E108" s="319"/>
      <c r="F108" s="319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</row>
    <row r="109" spans="1:29" ht="12.75">
      <c r="A109" s="318"/>
      <c r="B109" s="318"/>
      <c r="C109" s="318"/>
      <c r="D109" s="319"/>
      <c r="E109" s="319"/>
      <c r="F109" s="319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</row>
    <row r="110" spans="1:29" ht="12.75">
      <c r="A110" s="318"/>
      <c r="B110" s="318"/>
      <c r="C110" s="318"/>
      <c r="D110" s="319"/>
      <c r="E110" s="319"/>
      <c r="F110" s="319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</row>
    <row r="111" spans="1:29" ht="12.75">
      <c r="A111" s="318"/>
      <c r="B111" s="318"/>
      <c r="C111" s="318"/>
      <c r="D111" s="319"/>
      <c r="E111" s="319"/>
      <c r="F111" s="319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</row>
    <row r="112" spans="1:29" ht="12.75">
      <c r="A112" s="318"/>
      <c r="B112" s="318"/>
      <c r="C112" s="318"/>
      <c r="D112" s="319"/>
      <c r="E112" s="319"/>
      <c r="F112" s="319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</row>
    <row r="113" spans="1:29" ht="12.75">
      <c r="A113" s="318"/>
      <c r="B113" s="318"/>
      <c r="C113" s="318"/>
      <c r="D113" s="319"/>
      <c r="E113" s="319"/>
      <c r="F113" s="319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</row>
    <row r="114" spans="1:29" ht="12.75">
      <c r="A114" s="318"/>
      <c r="B114" s="318"/>
      <c r="C114" s="318"/>
      <c r="D114" s="319"/>
      <c r="E114" s="319"/>
      <c r="F114" s="319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</row>
    <row r="115" spans="1:29" ht="12.75">
      <c r="A115" s="318"/>
      <c r="B115" s="318"/>
      <c r="C115" s="318"/>
      <c r="D115" s="319"/>
      <c r="E115" s="319"/>
      <c r="F115" s="319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</row>
    <row r="116" spans="1:29" ht="12.75">
      <c r="A116" s="318"/>
      <c r="B116" s="318"/>
      <c r="C116" s="318"/>
      <c r="D116" s="319"/>
      <c r="E116" s="319"/>
      <c r="F116" s="319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</row>
    <row r="117" spans="1:29" ht="12.75">
      <c r="A117" s="318"/>
      <c r="B117" s="318"/>
      <c r="C117" s="318"/>
      <c r="D117" s="319"/>
      <c r="E117" s="319"/>
      <c r="F117" s="319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</row>
    <row r="118" spans="1:29" ht="12.75">
      <c r="A118" s="318"/>
      <c r="B118" s="318"/>
      <c r="C118" s="318"/>
      <c r="D118" s="319"/>
      <c r="E118" s="319"/>
      <c r="F118" s="319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</row>
    <row r="119" spans="1:29" ht="12.75">
      <c r="A119" s="318"/>
      <c r="B119" s="318"/>
      <c r="C119" s="318"/>
      <c r="D119" s="319"/>
      <c r="E119" s="319"/>
      <c r="F119" s="319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</row>
    <row r="120" spans="1:29" ht="12.75">
      <c r="A120" s="318"/>
      <c r="B120" s="318"/>
      <c r="C120" s="318"/>
      <c r="D120" s="319"/>
      <c r="E120" s="319"/>
      <c r="F120" s="319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</row>
    <row r="121" spans="1:29" ht="12.75">
      <c r="A121" s="318"/>
      <c r="B121" s="318"/>
      <c r="C121" s="318"/>
      <c r="D121" s="319"/>
      <c r="E121" s="319"/>
      <c r="F121" s="319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29" ht="12.75">
      <c r="A122" s="318"/>
      <c r="B122" s="318"/>
      <c r="C122" s="318"/>
      <c r="D122" s="319"/>
      <c r="E122" s="319"/>
      <c r="F122" s="319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</row>
    <row r="123" spans="1:29" ht="12.75">
      <c r="A123" s="318"/>
      <c r="B123" s="318"/>
      <c r="C123" s="318"/>
      <c r="D123" s="319"/>
      <c r="E123" s="319"/>
      <c r="F123" s="319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</row>
    <row r="124" spans="1:29" ht="12.75">
      <c r="A124" s="318"/>
      <c r="B124" s="318"/>
      <c r="C124" s="318"/>
      <c r="D124" s="319"/>
      <c r="E124" s="319"/>
      <c r="F124" s="319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</row>
    <row r="125" spans="1:29" ht="12.75">
      <c r="A125" s="318"/>
      <c r="B125" s="318"/>
      <c r="C125" s="318"/>
      <c r="D125" s="319"/>
      <c r="E125" s="319"/>
      <c r="F125" s="319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</row>
    <row r="126" spans="1:29" ht="12.75">
      <c r="A126" s="318"/>
      <c r="B126" s="318"/>
      <c r="C126" s="318"/>
      <c r="D126" s="319"/>
      <c r="E126" s="319"/>
      <c r="F126" s="319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</row>
    <row r="127" spans="1:29" ht="12.75">
      <c r="A127" s="318"/>
      <c r="B127" s="318"/>
      <c r="C127" s="318"/>
      <c r="D127" s="319"/>
      <c r="E127" s="319"/>
      <c r="F127" s="319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</row>
    <row r="128" spans="1:29" ht="12.75">
      <c r="A128" s="318"/>
      <c r="B128" s="318"/>
      <c r="C128" s="318"/>
      <c r="D128" s="319"/>
      <c r="E128" s="319"/>
      <c r="F128" s="319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</row>
    <row r="129" spans="1:29" ht="12.75">
      <c r="A129" s="318"/>
      <c r="B129" s="318"/>
      <c r="C129" s="318"/>
      <c r="D129" s="319"/>
      <c r="E129" s="319"/>
      <c r="F129" s="319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</row>
    <row r="130" spans="1:29" ht="12.75">
      <c r="A130" s="318"/>
      <c r="B130" s="318"/>
      <c r="C130" s="318"/>
      <c r="D130" s="319"/>
      <c r="E130" s="319"/>
      <c r="F130" s="319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</row>
    <row r="131" spans="1:29" ht="12.75">
      <c r="A131" s="318"/>
      <c r="B131" s="318"/>
      <c r="C131" s="318"/>
      <c r="D131" s="319"/>
      <c r="E131" s="319"/>
      <c r="F131" s="319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</row>
    <row r="132" spans="1:29" ht="12.75">
      <c r="A132" s="318"/>
      <c r="B132" s="318"/>
      <c r="C132" s="318"/>
      <c r="D132" s="319"/>
      <c r="E132" s="319"/>
      <c r="F132" s="319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</row>
    <row r="133" spans="1:29" ht="12.75">
      <c r="A133" s="318"/>
      <c r="B133" s="318"/>
      <c r="C133" s="318"/>
      <c r="D133" s="319"/>
      <c r="E133" s="319"/>
      <c r="F133" s="319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</row>
    <row r="134" spans="1:29" ht="12.75">
      <c r="A134" s="318"/>
      <c r="B134" s="318"/>
      <c r="C134" s="318"/>
      <c r="D134" s="319"/>
      <c r="E134" s="319"/>
      <c r="F134" s="319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</row>
    <row r="135" spans="1:29" ht="12.75">
      <c r="A135" s="318"/>
      <c r="B135" s="318"/>
      <c r="C135" s="318"/>
      <c r="D135" s="319"/>
      <c r="E135" s="319"/>
      <c r="F135" s="319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</row>
    <row r="136" spans="1:29" ht="12.75">
      <c r="A136" s="318"/>
      <c r="B136" s="318"/>
      <c r="C136" s="318"/>
      <c r="D136" s="319"/>
      <c r="E136" s="319"/>
      <c r="F136" s="319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</row>
    <row r="137" spans="1:29" ht="12.75">
      <c r="A137" s="318"/>
      <c r="B137" s="318"/>
      <c r="C137" s="318"/>
      <c r="D137" s="319"/>
      <c r="E137" s="319"/>
      <c r="F137" s="319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</row>
    <row r="138" spans="1:29" ht="12.75">
      <c r="A138" s="318"/>
      <c r="B138" s="318"/>
      <c r="C138" s="318"/>
      <c r="D138" s="319"/>
      <c r="E138" s="319"/>
      <c r="F138" s="319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</row>
    <row r="139" spans="1:29" ht="12.75">
      <c r="A139" s="318"/>
      <c r="B139" s="318"/>
      <c r="C139" s="318"/>
      <c r="D139" s="319"/>
      <c r="E139" s="319"/>
      <c r="F139" s="319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</row>
    <row r="140" spans="1:29" ht="12.75">
      <c r="A140" s="318"/>
      <c r="B140" s="318"/>
      <c r="C140" s="318"/>
      <c r="D140" s="319"/>
      <c r="E140" s="319"/>
      <c r="F140" s="319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</row>
    <row r="141" spans="1:29" ht="12.75">
      <c r="A141" s="318"/>
      <c r="B141" s="318"/>
      <c r="C141" s="318"/>
      <c r="D141" s="319"/>
      <c r="E141" s="319"/>
      <c r="F141" s="319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</row>
    <row r="142" spans="1:29" ht="12.75">
      <c r="A142" s="318"/>
      <c r="B142" s="318"/>
      <c r="C142" s="318"/>
      <c r="D142" s="319"/>
      <c r="E142" s="319"/>
      <c r="F142" s="319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</row>
    <row r="143" spans="1:29" ht="12.75">
      <c r="A143" s="318"/>
      <c r="B143" s="318"/>
      <c r="C143" s="318"/>
      <c r="D143" s="319"/>
      <c r="E143" s="319"/>
      <c r="F143" s="319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</row>
    <row r="144" spans="1:29" ht="12.75">
      <c r="A144" s="318"/>
      <c r="B144" s="318"/>
      <c r="C144" s="318"/>
      <c r="D144" s="319"/>
      <c r="E144" s="319"/>
      <c r="F144" s="319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</row>
    <row r="145" spans="1:29" ht="12.75">
      <c r="A145" s="318"/>
      <c r="B145" s="318"/>
      <c r="C145" s="318"/>
      <c r="D145" s="319"/>
      <c r="E145" s="319"/>
      <c r="F145" s="319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</row>
    <row r="146" spans="1:29" ht="12.75">
      <c r="A146" s="318"/>
      <c r="B146" s="318"/>
      <c r="C146" s="318"/>
      <c r="D146" s="319"/>
      <c r="E146" s="319"/>
      <c r="F146" s="319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</row>
    <row r="147" spans="1:29" ht="12.75">
      <c r="A147" s="318"/>
      <c r="B147" s="318"/>
      <c r="C147" s="318"/>
      <c r="D147" s="319"/>
      <c r="E147" s="319"/>
      <c r="F147" s="319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</row>
    <row r="148" spans="1:29" ht="12.75">
      <c r="A148" s="318"/>
      <c r="B148" s="318"/>
      <c r="C148" s="318"/>
      <c r="D148" s="319"/>
      <c r="E148" s="319"/>
      <c r="F148" s="319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</row>
    <row r="149" spans="1:29" ht="12.75">
      <c r="A149" s="318"/>
      <c r="B149" s="318"/>
      <c r="C149" s="318"/>
      <c r="D149" s="319"/>
      <c r="E149" s="319"/>
      <c r="F149" s="319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</row>
    <row r="150" spans="1:29" ht="12.75">
      <c r="A150" s="318"/>
      <c r="B150" s="318"/>
      <c r="C150" s="318"/>
      <c r="D150" s="319"/>
      <c r="E150" s="319"/>
      <c r="F150" s="319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</row>
    <row r="151" spans="1:29" ht="12.75">
      <c r="A151" s="318"/>
      <c r="B151" s="318"/>
      <c r="C151" s="318"/>
      <c r="D151" s="319"/>
      <c r="E151" s="319"/>
      <c r="F151" s="319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</row>
    <row r="152" spans="1:29" ht="12.75">
      <c r="A152" s="318"/>
      <c r="B152" s="318"/>
      <c r="C152" s="318"/>
      <c r="D152" s="319"/>
      <c r="E152" s="319"/>
      <c r="F152" s="319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</row>
    <row r="153" spans="1:29" ht="12.75">
      <c r="A153" s="318"/>
      <c r="B153" s="318"/>
      <c r="C153" s="318"/>
      <c r="D153" s="319"/>
      <c r="E153" s="319"/>
      <c r="F153" s="319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  <c r="AB153" s="318"/>
      <c r="AC153" s="318"/>
    </row>
    <row r="154" spans="1:29" ht="12.75">
      <c r="A154" s="318"/>
      <c r="B154" s="318"/>
      <c r="C154" s="318"/>
      <c r="D154" s="319"/>
      <c r="E154" s="319"/>
      <c r="F154" s="319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</row>
    <row r="155" spans="1:29" ht="12.75">
      <c r="A155" s="318"/>
      <c r="B155" s="318"/>
      <c r="C155" s="318"/>
      <c r="D155" s="319"/>
      <c r="E155" s="319"/>
      <c r="F155" s="319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</row>
    <row r="156" spans="1:29" ht="12.75">
      <c r="A156" s="318"/>
      <c r="B156" s="318"/>
      <c r="C156" s="318"/>
      <c r="D156" s="319"/>
      <c r="E156" s="319"/>
      <c r="F156" s="319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</row>
    <row r="157" spans="1:29" ht="12.75">
      <c r="A157" s="318"/>
      <c r="B157" s="318"/>
      <c r="C157" s="318"/>
      <c r="D157" s="319"/>
      <c r="E157" s="319"/>
      <c r="F157" s="319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</row>
    <row r="158" spans="1:29" ht="12.75">
      <c r="A158" s="318"/>
      <c r="B158" s="318"/>
      <c r="C158" s="318"/>
      <c r="D158" s="319"/>
      <c r="E158" s="319"/>
      <c r="F158" s="319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</row>
    <row r="159" spans="1:29" ht="12.75">
      <c r="A159" s="318"/>
      <c r="B159" s="318"/>
      <c r="C159" s="318"/>
      <c r="D159" s="319"/>
      <c r="E159" s="319"/>
      <c r="F159" s="319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</row>
    <row r="160" spans="1:29" ht="12.75">
      <c r="A160" s="318"/>
      <c r="B160" s="318"/>
      <c r="C160" s="318"/>
      <c r="D160" s="319"/>
      <c r="E160" s="319"/>
      <c r="F160" s="319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</row>
    <row r="161" spans="1:29" ht="12.75">
      <c r="A161" s="318"/>
      <c r="B161" s="318"/>
      <c r="C161" s="318"/>
      <c r="D161" s="319"/>
      <c r="E161" s="319"/>
      <c r="F161" s="319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</row>
    <row r="162" spans="1:29" ht="12.75">
      <c r="A162" s="318"/>
      <c r="B162" s="318"/>
      <c r="C162" s="318"/>
      <c r="D162" s="319"/>
      <c r="E162" s="319"/>
      <c r="F162" s="319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</row>
    <row r="163" spans="1:29" ht="12.75">
      <c r="A163" s="318"/>
      <c r="B163" s="318"/>
      <c r="C163" s="318"/>
      <c r="D163" s="319"/>
      <c r="E163" s="319"/>
      <c r="F163" s="319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</row>
    <row r="164" spans="1:29" ht="12.75">
      <c r="A164" s="318"/>
      <c r="B164" s="318"/>
      <c r="C164" s="318"/>
      <c r="D164" s="319"/>
      <c r="E164" s="319"/>
      <c r="F164" s="319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</row>
    <row r="165" spans="1:29" ht="12.75">
      <c r="A165" s="318"/>
      <c r="B165" s="318"/>
      <c r="C165" s="318"/>
      <c r="D165" s="319"/>
      <c r="E165" s="319"/>
      <c r="F165" s="319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</row>
    <row r="166" spans="1:29" ht="12.75">
      <c r="A166" s="318"/>
      <c r="B166" s="318"/>
      <c r="C166" s="318"/>
      <c r="D166" s="319"/>
      <c r="E166" s="319"/>
      <c r="F166" s="319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</row>
    <row r="167" spans="1:29" ht="12.75">
      <c r="A167" s="318"/>
      <c r="B167" s="318"/>
      <c r="C167" s="318"/>
      <c r="D167" s="319"/>
      <c r="E167" s="319"/>
      <c r="F167" s="319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</row>
  </sheetData>
  <sheetProtection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7109375" style="318" customWidth="1"/>
    <col min="3" max="3" width="26.7109375" style="318" customWidth="1"/>
    <col min="4" max="4" width="9.140625" style="318" customWidth="1"/>
    <col min="5" max="6" width="1.7109375" style="318" customWidth="1"/>
    <col min="7" max="7" width="26.7109375" style="318" customWidth="1"/>
    <col min="8" max="8" width="9.140625" style="318" customWidth="1"/>
    <col min="9" max="9" width="1.7109375" style="318" customWidth="1"/>
    <col min="10" max="255" width="9.140625" style="318" customWidth="1"/>
  </cols>
  <sheetData>
    <row r="1" spans="1:9" ht="20.25">
      <c r="A1" s="345"/>
      <c r="B1" s="389" t="s">
        <v>741</v>
      </c>
      <c r="C1" s="389"/>
      <c r="D1" s="390"/>
      <c r="E1" s="390"/>
      <c r="F1" s="390"/>
      <c r="G1" s="390"/>
      <c r="H1" s="390"/>
      <c r="I1" s="391"/>
    </row>
    <row r="2" spans="1:9" ht="20.25">
      <c r="A2" s="385"/>
      <c r="B2" s="388" t="str">
        <f>CONCATENATE(Design!D4,", ",Design!D5," class ",Design!D6)</f>
        <v>name, class class type</v>
      </c>
      <c r="C2" s="392"/>
      <c r="D2" s="386"/>
      <c r="E2" s="386"/>
      <c r="F2" s="386"/>
      <c r="G2" s="386"/>
      <c r="H2" s="386"/>
      <c r="I2" s="387"/>
    </row>
    <row r="3" spans="1:9" ht="12.75">
      <c r="A3" s="377"/>
      <c r="B3" s="378"/>
      <c r="C3" s="378"/>
      <c r="D3" s="378"/>
      <c r="E3" s="378"/>
      <c r="F3" s="378"/>
      <c r="G3" s="378"/>
      <c r="H3" s="378"/>
      <c r="I3" s="379"/>
    </row>
    <row r="4" spans="1:9" ht="12.75">
      <c r="A4" s="377"/>
      <c r="B4" s="378" t="s">
        <v>742</v>
      </c>
      <c r="C4" s="378"/>
      <c r="D4" s="378"/>
      <c r="E4" s="378"/>
      <c r="F4" s="378"/>
      <c r="G4" s="378"/>
      <c r="H4" s="378"/>
      <c r="I4" s="379"/>
    </row>
    <row r="5" spans="1:9" ht="12.75">
      <c r="A5" s="377"/>
      <c r="B5" s="378"/>
      <c r="C5" s="378"/>
      <c r="D5" s="378"/>
      <c r="E5" s="378"/>
      <c r="F5" s="378"/>
      <c r="G5" s="378"/>
      <c r="H5" s="378"/>
      <c r="I5" s="379"/>
    </row>
    <row r="6" spans="1:9" ht="12.75">
      <c r="A6" s="377"/>
      <c r="B6" s="393" t="s">
        <v>743</v>
      </c>
      <c r="C6" s="394"/>
      <c r="D6" s="395"/>
      <c r="E6" s="378"/>
      <c r="F6" s="400" t="s">
        <v>744</v>
      </c>
      <c r="G6" s="401"/>
      <c r="H6" s="402"/>
      <c r="I6" s="379"/>
    </row>
    <row r="7" spans="1:9" ht="12.75">
      <c r="A7" s="377"/>
      <c r="B7" s="396" t="s">
        <v>745</v>
      </c>
      <c r="C7" s="382"/>
      <c r="D7" s="397">
        <f>Design!N138+Design!N141+Design!N144+Design!N147+Design!N150+Design!N153</f>
        <v>60</v>
      </c>
      <c r="E7" s="381"/>
      <c r="F7" s="396" t="s">
        <v>746</v>
      </c>
      <c r="G7" s="382"/>
      <c r="H7" s="397">
        <f>Design!N259</f>
        <v>62.06371859999999</v>
      </c>
      <c r="I7" s="379"/>
    </row>
    <row r="8" spans="1:9" ht="12.75">
      <c r="A8" s="377"/>
      <c r="B8" s="396" t="s">
        <v>747</v>
      </c>
      <c r="C8" s="382"/>
      <c r="D8" s="397">
        <f>Design!F140+Design!F143+Design!F146+Design!F149+Design!F152</f>
        <v>0</v>
      </c>
      <c r="E8" s="381"/>
      <c r="F8" s="396" t="s">
        <v>748</v>
      </c>
      <c r="G8" s="382"/>
      <c r="H8" s="397">
        <f>Vol*0.018*Design!F44</f>
        <v>25.2</v>
      </c>
      <c r="I8" s="379"/>
    </row>
    <row r="9" spans="1:9" ht="12.75">
      <c r="A9" s="377"/>
      <c r="B9" s="398" t="s">
        <v>749</v>
      </c>
      <c r="C9" s="403"/>
      <c r="D9" s="399">
        <f>Design!F154*Design!G154</f>
        <v>0</v>
      </c>
      <c r="E9" s="381"/>
      <c r="F9" s="398" t="s">
        <v>750</v>
      </c>
      <c r="G9" s="403"/>
      <c r="H9" s="399">
        <f>D7-H7</f>
        <v>-2.063718599999987</v>
      </c>
      <c r="I9" s="379"/>
    </row>
    <row r="10" spans="1:9" ht="12.75">
      <c r="A10" s="377"/>
      <c r="B10" s="378"/>
      <c r="C10" s="378"/>
      <c r="D10" s="383"/>
      <c r="E10" s="381"/>
      <c r="F10" s="381"/>
      <c r="G10" s="381"/>
      <c r="H10" s="383"/>
      <c r="I10" s="379"/>
    </row>
    <row r="11" spans="1:9" ht="12.75">
      <c r="A11" s="377"/>
      <c r="B11" s="393" t="s">
        <v>751</v>
      </c>
      <c r="C11" s="394"/>
      <c r="D11" s="395"/>
      <c r="E11" s="381"/>
      <c r="F11" s="400" t="s">
        <v>752</v>
      </c>
      <c r="G11" s="401"/>
      <c r="H11" s="402"/>
      <c r="I11" s="379"/>
    </row>
    <row r="12" spans="1:9" ht="12.75">
      <c r="A12" s="377"/>
      <c r="B12" s="396" t="s">
        <v>176</v>
      </c>
      <c r="C12" s="382"/>
      <c r="D12" s="407">
        <f>SUM(Design!N23:N32)</f>
        <v>0</v>
      </c>
      <c r="E12" s="381"/>
      <c r="F12" s="396" t="s">
        <v>753</v>
      </c>
      <c r="G12" s="382"/>
      <c r="H12" s="397" t="str">
        <f>IF(H7&lt;=D7,"OK","Fail")</f>
        <v>Fail</v>
      </c>
      <c r="I12" s="379"/>
    </row>
    <row r="13" spans="1:9" ht="12.75">
      <c r="A13" s="377"/>
      <c r="B13" s="396" t="s">
        <v>191</v>
      </c>
      <c r="C13" s="382"/>
      <c r="D13" s="397">
        <f>SUM(Design!N34:N48)</f>
        <v>58.8</v>
      </c>
      <c r="E13" s="381"/>
      <c r="F13" s="396" t="s">
        <v>754</v>
      </c>
      <c r="G13" s="382"/>
      <c r="H13" s="397" t="str">
        <f>IF(H7-D24&lt;=D7,"OK","Fail")</f>
        <v>Fail</v>
      </c>
      <c r="I13" s="379"/>
    </row>
    <row r="14" spans="1:9" ht="12.75">
      <c r="A14" s="377"/>
      <c r="B14" s="396" t="s">
        <v>215</v>
      </c>
      <c r="C14" s="382"/>
      <c r="D14" s="397">
        <f>SUM(Design!N50:N63)</f>
        <v>0</v>
      </c>
      <c r="E14" s="381"/>
      <c r="F14" s="396" t="s">
        <v>755</v>
      </c>
      <c r="G14" s="382"/>
      <c r="H14" s="397" t="str">
        <f>IF(H7-D24-D14&lt;=D7,"OK","Fail")</f>
        <v>Fail</v>
      </c>
      <c r="I14" s="379"/>
    </row>
    <row r="15" spans="1:9" ht="12.75">
      <c r="A15" s="377"/>
      <c r="B15" s="396" t="s">
        <v>221</v>
      </c>
      <c r="C15" s="382"/>
      <c r="D15" s="397">
        <f>SUM(Design!N65:N80)</f>
        <v>0</v>
      </c>
      <c r="E15" s="381"/>
      <c r="F15" s="396" t="s">
        <v>756</v>
      </c>
      <c r="G15" s="382"/>
      <c r="H15" s="397" t="str">
        <f>IF(H7-D24-D14-D15&lt;=D7,"OK","Fail")</f>
        <v>Fail</v>
      </c>
      <c r="I15" s="379"/>
    </row>
    <row r="16" spans="1:9" ht="12.75">
      <c r="A16" s="377"/>
      <c r="B16" s="396" t="s">
        <v>240</v>
      </c>
      <c r="C16" s="382"/>
      <c r="D16" s="397">
        <f>SUM(Design!N82:N92)</f>
        <v>0.10725</v>
      </c>
      <c r="E16" s="381"/>
      <c r="F16" s="404" t="s">
        <v>757</v>
      </c>
      <c r="G16" s="380"/>
      <c r="H16" s="405" t="str">
        <f>IF(H7-D24-D14-D15-D19&lt;=D7,"OK","Fail")</f>
        <v>Fail</v>
      </c>
      <c r="I16" s="379"/>
    </row>
    <row r="17" spans="1:9" ht="12.75">
      <c r="A17" s="377"/>
      <c r="B17" s="396" t="s">
        <v>247</v>
      </c>
      <c r="C17" s="382"/>
      <c r="D17" s="397">
        <f>SUM(Design!N94:N102)</f>
        <v>0.169667</v>
      </c>
      <c r="E17" s="381"/>
      <c r="F17" s="406"/>
      <c r="G17" s="384" t="s">
        <v>758</v>
      </c>
      <c r="H17" s="407"/>
      <c r="I17" s="379"/>
    </row>
    <row r="18" spans="1:9" ht="12.75">
      <c r="A18" s="377"/>
      <c r="B18" s="396" t="s">
        <v>252</v>
      </c>
      <c r="C18" s="382"/>
      <c r="D18" s="397">
        <f>SUM(Design!N104:N120)</f>
        <v>0.0301</v>
      </c>
      <c r="E18" s="381"/>
      <c r="F18" s="404" t="s">
        <v>759</v>
      </c>
      <c r="G18" s="380"/>
      <c r="H18" s="405" t="str">
        <f>IF(D12+D16+D17+D18+D19+D20+D27&lt;=D7,"OK","Fail")</f>
        <v>OK</v>
      </c>
      <c r="I18" s="379"/>
    </row>
    <row r="19" spans="1:9" ht="12.75">
      <c r="A19" s="377"/>
      <c r="B19" s="396" t="s">
        <v>760</v>
      </c>
      <c r="C19" s="382"/>
      <c r="D19" s="397">
        <f>SUM(Design!N122:N136)</f>
        <v>0</v>
      </c>
      <c r="E19" s="381"/>
      <c r="F19" s="406"/>
      <c r="G19" s="384" t="s">
        <v>761</v>
      </c>
      <c r="H19" s="407"/>
      <c r="I19" s="379"/>
    </row>
    <row r="20" spans="1:9" ht="12.75">
      <c r="A20" s="377"/>
      <c r="B20" s="396" t="s">
        <v>762</v>
      </c>
      <c r="C20" s="382"/>
      <c r="D20" s="397">
        <f>Design!N156+Design!N157</f>
        <v>0</v>
      </c>
      <c r="E20" s="381"/>
      <c r="F20" s="398" t="s">
        <v>763</v>
      </c>
      <c r="G20" s="403"/>
      <c r="H20" s="399" t="str">
        <f>IF(H8&lt;=(D7-D12-D16-D18-D27),"OK","Fail")</f>
        <v>OK</v>
      </c>
      <c r="I20" s="379"/>
    </row>
    <row r="21" spans="1:9" ht="12.75">
      <c r="A21" s="377"/>
      <c r="B21" s="396" t="s">
        <v>279</v>
      </c>
      <c r="C21" s="382"/>
      <c r="D21" s="397">
        <f>SUM(Design!N159:N171)</f>
        <v>0</v>
      </c>
      <c r="E21" s="381"/>
      <c r="F21" s="381"/>
      <c r="G21" s="381"/>
      <c r="H21" s="383"/>
      <c r="I21" s="379"/>
    </row>
    <row r="22" spans="1:9" ht="12.75">
      <c r="A22" s="377"/>
      <c r="B22" s="396" t="s">
        <v>292</v>
      </c>
      <c r="C22" s="382"/>
      <c r="D22" s="397">
        <f>SUM(Design!N173:N189)</f>
        <v>0</v>
      </c>
      <c r="E22" s="381"/>
      <c r="F22" s="400" t="s">
        <v>764</v>
      </c>
      <c r="G22" s="401"/>
      <c r="H22" s="402"/>
      <c r="I22" s="379"/>
    </row>
    <row r="23" spans="1:9" ht="12.75">
      <c r="A23" s="377"/>
      <c r="B23" s="396" t="s">
        <v>765</v>
      </c>
      <c r="C23" s="382"/>
      <c r="D23" s="397">
        <f>SUM(Design!N191:N197)</f>
        <v>0</v>
      </c>
      <c r="E23" s="381"/>
      <c r="F23" s="562" t="s">
        <v>766</v>
      </c>
      <c r="G23" s="382"/>
      <c r="H23" s="408" t="str">
        <f>IF(D$9=0,"n/a",IF(D14=0,"n/a",ROUND(D$9/D14,2)))</f>
        <v>n/a</v>
      </c>
      <c r="I23" s="379"/>
    </row>
    <row r="24" spans="1:9" ht="12.75">
      <c r="A24" s="377"/>
      <c r="B24" s="396" t="s">
        <v>725</v>
      </c>
      <c r="C24" s="382"/>
      <c r="D24" s="397">
        <f>SUM(Design!N199:N204)</f>
        <v>0</v>
      </c>
      <c r="E24" s="381"/>
      <c r="F24" s="396" t="s">
        <v>767</v>
      </c>
      <c r="G24" s="382"/>
      <c r="H24" s="408" t="str">
        <f>IF(D$9=0,"n/a",IF(D27=0,"n/a",ROUND(D$9/D27,1)))</f>
        <v>n/a</v>
      </c>
      <c r="I24" s="379"/>
    </row>
    <row r="25" spans="1:9" ht="12.75">
      <c r="A25" s="377"/>
      <c r="B25" s="396" t="s">
        <v>321</v>
      </c>
      <c r="C25" s="382"/>
      <c r="D25" s="397">
        <f>SUM(Design!N229:N231)</f>
        <v>0</v>
      </c>
      <c r="E25" s="381"/>
      <c r="F25" s="396" t="s">
        <v>768</v>
      </c>
      <c r="G25" s="382"/>
      <c r="H25" s="408" t="str">
        <f>IF(D9=0,"n/a",IF((D12+D17+D18+D27+Design!N105+Design!N107+Design!N109)=0,"n/a",ROUND(D9/(D12+D17+D18+D27+Design!N105+Design!N107+Design!N109),1)))</f>
        <v>n/a</v>
      </c>
      <c r="I25" s="379"/>
    </row>
    <row r="26" spans="1:9" ht="12.75">
      <c r="A26" s="377"/>
      <c r="B26" s="396" t="s">
        <v>769</v>
      </c>
      <c r="C26" s="382"/>
      <c r="D26" s="397">
        <f>SUM(Design!N233:N243)</f>
        <v>0.002</v>
      </c>
      <c r="E26" s="381"/>
      <c r="F26" s="396" t="s">
        <v>770</v>
      </c>
      <c r="G26" s="382"/>
      <c r="H26" s="408" t="str">
        <f>IF(D9=0,"n/a",ROUND(D9/D7,1))</f>
        <v>n/a</v>
      </c>
      <c r="I26" s="379"/>
    </row>
    <row r="27" spans="1:9" ht="12.75">
      <c r="A27" s="377"/>
      <c r="B27" s="398" t="s">
        <v>329</v>
      </c>
      <c r="C27" s="403"/>
      <c r="D27" s="399">
        <f>SUM(Design!N245:N257)</f>
        <v>2.9547016</v>
      </c>
      <c r="E27" s="381"/>
      <c r="F27" s="398" t="s">
        <v>771</v>
      </c>
      <c r="G27" s="403"/>
      <c r="H27" s="409" t="str">
        <f>IF(D9=0,"n/a",IF(H9&lt;=0,"No",ROUND(D9/H9,1)))</f>
        <v>n/a</v>
      </c>
      <c r="I27" s="379"/>
    </row>
    <row r="28" spans="1:9" ht="12.75">
      <c r="A28" s="385"/>
      <c r="B28" s="386"/>
      <c r="C28" s="386"/>
      <c r="D28" s="386"/>
      <c r="E28" s="386"/>
      <c r="F28" s="386"/>
      <c r="G28" s="386"/>
      <c r="H28" s="386"/>
      <c r="I28" s="38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314" customWidth="1"/>
    <col min="2" max="2" width="16.7109375" style="314" customWidth="1"/>
    <col min="3" max="3" width="7.7109375" style="314" customWidth="1"/>
    <col min="4" max="4" width="2.7109375" style="314" customWidth="1"/>
    <col min="5" max="5" width="16.7109375" style="314" customWidth="1"/>
    <col min="6" max="6" width="7.7109375" style="314" customWidth="1"/>
    <col min="7" max="7" width="2.7109375" style="314" customWidth="1"/>
    <col min="8" max="8" width="16.7109375" style="314" customWidth="1"/>
    <col min="9" max="9" width="7.7109375" style="314" customWidth="1"/>
    <col min="10" max="10" width="1.7109375" style="314" customWidth="1"/>
    <col min="11" max="255" width="9.140625" style="314" customWidth="1"/>
  </cols>
  <sheetData>
    <row r="1" spans="1:10" ht="18">
      <c r="A1" s="439" t="s">
        <v>772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2" t="str">
        <f>CONCATENATE(Design!D4,", ",Design!D5," class ",Design!D6)</f>
        <v>name, class class type</v>
      </c>
      <c r="B2" s="316"/>
      <c r="C2" s="316"/>
      <c r="D2" s="316"/>
      <c r="E2" s="316"/>
      <c r="F2" s="316"/>
      <c r="G2" s="316"/>
      <c r="H2" s="316"/>
      <c r="I2" s="316"/>
      <c r="J2" s="443"/>
    </row>
    <row r="3" spans="1:10" ht="15.75">
      <c r="A3" s="442"/>
      <c r="B3" s="316"/>
      <c r="C3" s="316"/>
      <c r="D3" s="316"/>
      <c r="E3" s="316"/>
      <c r="F3" s="316"/>
      <c r="G3" s="316"/>
      <c r="H3" s="316"/>
      <c r="I3" s="316"/>
      <c r="J3" s="443"/>
    </row>
    <row r="4" spans="1:10" ht="12.75">
      <c r="A4" s="444"/>
      <c r="B4" s="316" t="s">
        <v>773</v>
      </c>
      <c r="C4" s="316"/>
      <c r="D4" s="316"/>
      <c r="E4" s="316"/>
      <c r="F4" s="316"/>
      <c r="G4" s="316"/>
      <c r="H4" s="316"/>
      <c r="I4" s="316"/>
      <c r="J4" s="443"/>
    </row>
    <row r="5" spans="1:10" ht="12.75">
      <c r="A5" s="444"/>
      <c r="B5" s="316" t="s">
        <v>774</v>
      </c>
      <c r="C5" s="316"/>
      <c r="D5" s="316"/>
      <c r="E5" s="316"/>
      <c r="F5" s="316"/>
      <c r="G5" s="316"/>
      <c r="H5" s="316"/>
      <c r="I5" s="316"/>
      <c r="J5" s="443"/>
    </row>
    <row r="6" spans="1:10" ht="12.75">
      <c r="A6" s="444"/>
      <c r="B6" s="316" t="s">
        <v>775</v>
      </c>
      <c r="C6" s="316"/>
      <c r="D6" s="316"/>
      <c r="E6" s="316"/>
      <c r="F6" s="316"/>
      <c r="G6" s="316"/>
      <c r="H6" s="316"/>
      <c r="I6" s="316"/>
      <c r="J6" s="443"/>
    </row>
    <row r="7" spans="1:10" ht="12.75">
      <c r="A7" s="444"/>
      <c r="B7" s="316"/>
      <c r="C7" s="316"/>
      <c r="D7" s="316"/>
      <c r="E7" s="316"/>
      <c r="F7" s="316"/>
      <c r="G7" s="316"/>
      <c r="H7" s="316"/>
      <c r="I7" s="316"/>
      <c r="J7" s="443"/>
    </row>
    <row r="8" spans="1:10" ht="12.75">
      <c r="A8" s="444"/>
      <c r="B8" s="429" t="s">
        <v>776</v>
      </c>
      <c r="C8" s="438">
        <v>2</v>
      </c>
      <c r="D8" s="435"/>
      <c r="E8" s="432" t="s">
        <v>777</v>
      </c>
      <c r="F8" s="438">
        <v>1.5</v>
      </c>
      <c r="G8" s="435"/>
      <c r="H8" s="432"/>
      <c r="I8" s="433"/>
      <c r="J8" s="443"/>
    </row>
    <row r="9" spans="1:10" ht="12.75">
      <c r="A9" s="444"/>
      <c r="B9" s="416" t="s">
        <v>778</v>
      </c>
      <c r="C9" s="431">
        <f>ROUND(Tables!F26/F8,1)</f>
        <v>9.3</v>
      </c>
      <c r="D9" s="436"/>
      <c r="E9" s="431" t="s">
        <v>779</v>
      </c>
      <c r="F9" s="431">
        <f>ROUND(Tables!F27/F8,1)</f>
        <v>9.3</v>
      </c>
      <c r="G9" s="436"/>
      <c r="H9" s="431" t="s">
        <v>780</v>
      </c>
      <c r="I9" s="417">
        <f>ROUND(Tables!F28/C8,1)</f>
        <v>6.9</v>
      </c>
      <c r="J9" s="443"/>
    </row>
    <row r="10" spans="1:10" ht="12.75">
      <c r="A10" s="444"/>
      <c r="B10" s="418" t="s">
        <v>781</v>
      </c>
      <c r="C10" s="434">
        <f>ROUND(Tables!F26/C8,1)</f>
        <v>6.9</v>
      </c>
      <c r="D10" s="437"/>
      <c r="E10" s="434" t="s">
        <v>782</v>
      </c>
      <c r="F10" s="434">
        <f>F9</f>
        <v>9.3</v>
      </c>
      <c r="G10" s="437"/>
      <c r="H10" s="434" t="s">
        <v>783</v>
      </c>
      <c r="I10" s="419">
        <f>ROUND(Tables!F28/F8,1)</f>
        <v>9.3</v>
      </c>
      <c r="J10" s="443"/>
    </row>
    <row r="11" spans="1:10" ht="12.75">
      <c r="A11" s="444"/>
      <c r="B11" s="316"/>
      <c r="C11" s="316"/>
      <c r="D11" s="316"/>
      <c r="E11" s="316"/>
      <c r="F11" s="316"/>
      <c r="G11" s="316"/>
      <c r="H11" s="316"/>
      <c r="I11" s="316"/>
      <c r="J11" s="443"/>
    </row>
    <row r="12" spans="1:10" ht="12.75">
      <c r="A12" s="444"/>
      <c r="B12" s="424" t="s">
        <v>784</v>
      </c>
      <c r="C12" s="420"/>
      <c r="D12" s="316"/>
      <c r="E12" s="424" t="s">
        <v>785</v>
      </c>
      <c r="F12" s="420"/>
      <c r="G12" s="316"/>
      <c r="H12" s="424" t="s">
        <v>786</v>
      </c>
      <c r="I12" s="420"/>
      <c r="J12" s="443"/>
    </row>
    <row r="13" spans="1:10" ht="12.75">
      <c r="A13" s="444"/>
      <c r="B13" s="422" t="s">
        <v>787</v>
      </c>
      <c r="C13" s="423" t="s">
        <v>788</v>
      </c>
      <c r="D13" s="316"/>
      <c r="E13" s="422" t="s">
        <v>787</v>
      </c>
      <c r="F13" s="423" t="s">
        <v>788</v>
      </c>
      <c r="G13" s="428"/>
      <c r="H13" s="422" t="s">
        <v>787</v>
      </c>
      <c r="I13" s="423" t="s">
        <v>788</v>
      </c>
      <c r="J13" s="443"/>
    </row>
    <row r="14" spans="1:10" ht="12.75">
      <c r="A14" s="444"/>
      <c r="B14" s="414" t="s">
        <v>789</v>
      </c>
      <c r="C14" s="415">
        <f>ROUND(Design!K34/SquareVol,0)</f>
        <v>0</v>
      </c>
      <c r="D14" s="316"/>
      <c r="E14" s="429" t="s">
        <v>790</v>
      </c>
      <c r="F14" s="415">
        <f>ROUND(Design!K82/SquareVol,0)</f>
        <v>0</v>
      </c>
      <c r="G14" s="316"/>
      <c r="H14" s="429" t="str">
        <f>IF(Design!E50=0,"Empty tur.",CONCATENATE("Empty tur. (",ROUND(Design!K50/SquareVol,0),"sqs ea)"))</f>
        <v>Empty tur.</v>
      </c>
      <c r="I14" s="415">
        <f>ROUND(Design!K50/SquareVol,0)</f>
        <v>0</v>
      </c>
      <c r="J14" s="443"/>
    </row>
    <row r="15" spans="1:10" ht="12.75">
      <c r="A15" s="444"/>
      <c r="B15" s="416" t="s">
        <v>791</v>
      </c>
      <c r="C15" s="415">
        <f>ROUND(Design!K35/SquareVol,0)</f>
        <v>0</v>
      </c>
      <c r="D15" s="316"/>
      <c r="E15" s="416" t="s">
        <v>792</v>
      </c>
      <c r="F15" s="415">
        <f>ROUND(Design!K83/SquareVol,0)</f>
        <v>0</v>
      </c>
      <c r="G15" s="316"/>
      <c r="H15" s="416" t="str">
        <f>IF(Design!E51=0,"Empty tur.",CONCATENATE("Empty tur. (",ROUND(Design!K51/SquareVol,0),"sqs ea)"))</f>
        <v>Empty tur.</v>
      </c>
      <c r="I15" s="415">
        <f>ROUND(Design!K51/SquareVol,0)</f>
        <v>0</v>
      </c>
      <c r="J15" s="443"/>
    </row>
    <row r="16" spans="1:10" ht="12.75">
      <c r="A16" s="444"/>
      <c r="B16" s="416" t="s">
        <v>793</v>
      </c>
      <c r="C16" s="415">
        <f>ROUND(Design!K36/SquareVol,0)</f>
        <v>0</v>
      </c>
      <c r="D16" s="316"/>
      <c r="E16" s="416" t="s">
        <v>794</v>
      </c>
      <c r="F16" s="415">
        <f>ROUND(Design!K84/SquareVol,0)</f>
        <v>0</v>
      </c>
      <c r="G16" s="316"/>
      <c r="H16" s="416" t="str">
        <f>IF(Design!E52=0,"Empty bay",CONCATENATE("Empty bay (",ROUND(Design!K52/SquareVol,0),"sqs ea)"))</f>
        <v>Empty bay</v>
      </c>
      <c r="I16" s="415">
        <f>ROUND(Design!K52/SquareVol,0)</f>
        <v>0</v>
      </c>
      <c r="J16" s="443"/>
    </row>
    <row r="17" spans="1:10" ht="12.75">
      <c r="A17" s="444"/>
      <c r="B17" s="416" t="s">
        <v>795</v>
      </c>
      <c r="C17" s="415">
        <f>ROUND(Design!K37/SquareVol,0)</f>
        <v>0</v>
      </c>
      <c r="D17" s="316"/>
      <c r="E17" s="416" t="s">
        <v>796</v>
      </c>
      <c r="F17" s="415">
        <f>ROUND(Design!K85/SquareVol,0)</f>
        <v>0</v>
      </c>
      <c r="G17" s="316"/>
      <c r="H17" s="416" t="str">
        <f>IF(Design!E53=0,"Empty bay",CONCATENATE("Empty bay (",ROUND(Design!K53/SquareVol,0),"sqs ea)"))</f>
        <v>Empty bay</v>
      </c>
      <c r="I17" s="415">
        <f>ROUND(Design!K53/SquareVol,0)</f>
        <v>0</v>
      </c>
      <c r="J17" s="443"/>
    </row>
    <row r="18" spans="1:10" ht="12.75">
      <c r="A18" s="444"/>
      <c r="B18" s="416" t="s">
        <v>797</v>
      </c>
      <c r="C18" s="415">
        <f>ROUND(Design!K38/SquareVol,0)</f>
        <v>0</v>
      </c>
      <c r="D18" s="316"/>
      <c r="E18" s="416" t="s">
        <v>798</v>
      </c>
      <c r="F18" s="415">
        <f>ROUND(Design!K86/SquareVol,0)</f>
        <v>0</v>
      </c>
      <c r="G18" s="316"/>
      <c r="H18" s="416" t="str">
        <f>IF(Design!E54=0,"Laser",CONCATENATE("Laser (",ROUND(Design!K54/SquareVol,0),"sqs ea)"))</f>
        <v>Laser</v>
      </c>
      <c r="I18" s="415">
        <f>ROUND(Design!K54/SquareVol,0)</f>
        <v>0</v>
      </c>
      <c r="J18" s="443"/>
    </row>
    <row r="19" spans="1:10" ht="12.75">
      <c r="A19" s="444"/>
      <c r="B19" s="416" t="s">
        <v>799</v>
      </c>
      <c r="C19" s="415">
        <f>ROUND(Design!K39/SquareVol,0)</f>
        <v>0</v>
      </c>
      <c r="D19" s="316"/>
      <c r="E19" s="416" t="s">
        <v>240</v>
      </c>
      <c r="F19" s="415">
        <f>ROUND(Design!K88/SquareVol,0)</f>
        <v>0</v>
      </c>
      <c r="G19" s="316"/>
      <c r="H19" s="416" t="str">
        <f>IF(Design!E55=0,"Laser",CONCATENATE("Laser (",ROUND(Design!K55/SquareVol,0),"sqs ea)"))</f>
        <v>Laser</v>
      </c>
      <c r="I19" s="415">
        <f>ROUND(Design!K55/SquareVol,0)</f>
        <v>0</v>
      </c>
      <c r="J19" s="443"/>
    </row>
    <row r="20" spans="1:10" ht="12.75">
      <c r="A20" s="444"/>
      <c r="B20" s="416" t="s">
        <v>800</v>
      </c>
      <c r="C20" s="415">
        <f>ROUND(Design!K40/SquareVol,0)</f>
        <v>8</v>
      </c>
      <c r="D20" s="316"/>
      <c r="E20" s="416" t="s">
        <v>801</v>
      </c>
      <c r="F20" s="415">
        <f>ROUND(Design!K89/SquareVol,0)</f>
        <v>0</v>
      </c>
      <c r="G20" s="316"/>
      <c r="H20" s="416" t="str">
        <f>IF(Design!E56=0,"Laser",CONCATENATE("Laser (",ROUND(Design!K56/SquareVol,0),"sqs ea)"))</f>
        <v>Laser</v>
      </c>
      <c r="I20" s="415">
        <f>ROUND(Design!K56/SquareVol,0)</f>
        <v>0</v>
      </c>
      <c r="J20" s="443"/>
    </row>
    <row r="21" spans="1:10" ht="12.75">
      <c r="A21" s="444"/>
      <c r="B21" s="416" t="s">
        <v>802</v>
      </c>
      <c r="C21" s="415">
        <f>ROUND(Design!K41/SquareVol,0)</f>
        <v>0</v>
      </c>
      <c r="D21" s="316"/>
      <c r="E21" s="416" t="s">
        <v>803</v>
      </c>
      <c r="F21" s="415">
        <f>ROUND(Design!K90/SquareVol,0)</f>
        <v>0</v>
      </c>
      <c r="G21" s="316"/>
      <c r="H21" s="416" t="str">
        <f>IF(Design!E57=0,"Laser",CONCATENATE("Laser (",ROUND(Design!K57/SquareVol,0),"sqs ea)"))</f>
        <v>Laser</v>
      </c>
      <c r="I21" s="415">
        <f>ROUND(Design!K57/SquareVol,0)</f>
        <v>0</v>
      </c>
      <c r="J21" s="443"/>
    </row>
    <row r="22" spans="1:10" ht="12.75">
      <c r="A22" s="444"/>
      <c r="B22" s="416" t="s">
        <v>804</v>
      </c>
      <c r="C22" s="415">
        <f>ROUND(Design!K42/SquareVol,0)</f>
        <v>6</v>
      </c>
      <c r="D22" s="316"/>
      <c r="E22" s="416" t="s">
        <v>805</v>
      </c>
      <c r="F22" s="415">
        <f>ROUND(Design!K91/SquareVol,0)</f>
        <v>0</v>
      </c>
      <c r="G22" s="316"/>
      <c r="H22" s="416" t="str">
        <f>IF(Design!E58=0,"Missile",CONCATENATE("Missile (",ROUND(Design!K58/SquareVol,0),"sqs ea)"))</f>
        <v>Missile</v>
      </c>
      <c r="I22" s="415">
        <f>ROUND(Design!K58/SquareVol,0)</f>
        <v>0</v>
      </c>
      <c r="J22" s="443"/>
    </row>
    <row r="23" spans="1:10" ht="12.75">
      <c r="A23" s="444"/>
      <c r="B23" s="416" t="s">
        <v>806</v>
      </c>
      <c r="C23" s="415">
        <f>ROUND(Design!K43/SquareVol,0)</f>
        <v>0</v>
      </c>
      <c r="D23" s="316"/>
      <c r="E23" s="416" t="s">
        <v>807</v>
      </c>
      <c r="F23" s="415">
        <f>ROUND(Design!K94/SquareVol,0)</f>
        <v>0</v>
      </c>
      <c r="G23" s="316"/>
      <c r="H23" s="416" t="str">
        <f>IF(Design!E59=0,"Missile",CONCATENATE("Missile (",ROUND(Design!K59/SquareVol,0),"sqs ea)"))</f>
        <v>Missile</v>
      </c>
      <c r="I23" s="415">
        <f>ROUND(Design!K59/SquareVol,0)</f>
        <v>0</v>
      </c>
      <c r="J23" s="443"/>
    </row>
    <row r="24" spans="1:10" ht="12.75">
      <c r="A24" s="444"/>
      <c r="B24" s="416" t="s">
        <v>808</v>
      </c>
      <c r="C24" s="415">
        <f>ROUND(Design!K44/SquareVol,0)</f>
        <v>6</v>
      </c>
      <c r="D24" s="316"/>
      <c r="E24" s="416" t="s">
        <v>809</v>
      </c>
      <c r="F24" s="415">
        <f>ROUND(Design!K95/SquareVol,0)</f>
        <v>0</v>
      </c>
      <c r="G24" s="316"/>
      <c r="H24" s="416" t="str">
        <f>IF(Design!E60=0,"Part. Acc.",CONCATENATE("Part. Acc. (",ROUND(Design!K60/SquareVol,0),"sqs ea)"))</f>
        <v>Part. Acc.</v>
      </c>
      <c r="I24" s="415">
        <f>ROUND(Design!K60/SquareVol,0)</f>
        <v>0</v>
      </c>
      <c r="J24" s="443"/>
    </row>
    <row r="25" spans="1:10" ht="12.75">
      <c r="A25" s="444"/>
      <c r="B25" s="416" t="s">
        <v>810</v>
      </c>
      <c r="C25" s="415">
        <f>ROUND(Design!K45/SquareVol,0)</f>
        <v>31</v>
      </c>
      <c r="D25" s="316"/>
      <c r="E25" s="416" t="s">
        <v>811</v>
      </c>
      <c r="F25" s="415">
        <f>ROUND(Design!K96/SquareVol,0)</f>
        <v>0</v>
      </c>
      <c r="G25" s="316"/>
      <c r="H25" s="416" t="str">
        <f>IF(Design!E61=0,"Part. Acc.",CONCATENATE("Part. Acc. (",ROUND(Design!K61/SquareVol,0),"sqs ea)"))</f>
        <v>Part. Acc.</v>
      </c>
      <c r="I25" s="415">
        <f>ROUND(Design!K61/SquareVol,0)</f>
        <v>0</v>
      </c>
      <c r="J25" s="443"/>
    </row>
    <row r="26" spans="1:10" ht="12.75">
      <c r="A26" s="444"/>
      <c r="B26" s="416" t="s">
        <v>812</v>
      </c>
      <c r="C26" s="415">
        <f>ROUND(Design!K46/SquareVol,0)</f>
        <v>0</v>
      </c>
      <c r="D26" s="316"/>
      <c r="E26" s="416" t="s">
        <v>813</v>
      </c>
      <c r="F26" s="415">
        <f>ROUND(Design!K97/SquareVol,0)</f>
        <v>0</v>
      </c>
      <c r="G26" s="316"/>
      <c r="H26" s="416" t="str">
        <f>IF(Design!E62=0,"Meson",CONCATENATE("Meson (",ROUND(Design!K62/SquareVol,0),"sqs ea)"))</f>
        <v>Meson</v>
      </c>
      <c r="I26" s="415">
        <f>ROUND(Design!K62/SquareVol,0)</f>
        <v>0</v>
      </c>
      <c r="J26" s="443"/>
    </row>
    <row r="27" spans="1:10" ht="12.75">
      <c r="A27" s="444"/>
      <c r="B27" s="416" t="s">
        <v>814</v>
      </c>
      <c r="C27" s="415">
        <f>ROUND(Design!K47/SquareVol,0)</f>
        <v>0</v>
      </c>
      <c r="D27" s="316"/>
      <c r="E27" s="416" t="s">
        <v>815</v>
      </c>
      <c r="F27" s="415">
        <f>ROUND(Design!K98/SquareVol,0)</f>
        <v>0</v>
      </c>
      <c r="G27" s="316"/>
      <c r="H27" s="416" t="str">
        <f>IF(Design!E63=0,"Meson",CONCATENATE("Meson (",ROUND(Design!K63/SquareVol,0),"sqs ea)"))</f>
        <v>Meson</v>
      </c>
      <c r="I27" s="415">
        <f>ROUND(Design!K63/SquareVol,0)</f>
        <v>0</v>
      </c>
      <c r="J27" s="443"/>
    </row>
    <row r="28" spans="1:10" ht="12.75">
      <c r="A28" s="444"/>
      <c r="B28" s="416" t="s">
        <v>816</v>
      </c>
      <c r="C28" s="417">
        <f>ROUND(Design!K138/SquareVol,0)</f>
        <v>0</v>
      </c>
      <c r="D28" s="316"/>
      <c r="E28" s="416" t="s">
        <v>817</v>
      </c>
      <c r="F28" s="415">
        <f>ROUND(Design!K99/SquareVol,0)</f>
        <v>0</v>
      </c>
      <c r="G28" s="316"/>
      <c r="H28" s="416" t="s">
        <v>818</v>
      </c>
      <c r="I28" s="415">
        <f>ROUND((Design!K65+Design!K66)/SquareVol,0)</f>
        <v>0</v>
      </c>
      <c r="J28" s="443"/>
    </row>
    <row r="29" spans="1:10" ht="12.75">
      <c r="A29" s="444"/>
      <c r="B29" s="416" t="s">
        <v>819</v>
      </c>
      <c r="C29" s="417">
        <f>ROUND(Design!K139/SquareVol,0)</f>
        <v>0</v>
      </c>
      <c r="D29" s="316"/>
      <c r="E29" s="416" t="s">
        <v>820</v>
      </c>
      <c r="F29" s="415">
        <f>ROUND(Design!K100/SquareVol,0)</f>
        <v>0</v>
      </c>
      <c r="G29" s="316"/>
      <c r="H29" s="416" t="s">
        <v>821</v>
      </c>
      <c r="I29" s="415">
        <f>ROUND(Design!K67/SquareVol,0)</f>
        <v>0</v>
      </c>
      <c r="J29" s="443"/>
    </row>
    <row r="30" spans="1:10" ht="12.75">
      <c r="A30" s="444"/>
      <c r="B30" s="416" t="s">
        <v>822</v>
      </c>
      <c r="C30" s="417">
        <f>ROUND(Design!K140/SquareVol,0)</f>
        <v>0</v>
      </c>
      <c r="D30" s="316"/>
      <c r="E30" s="416" t="s">
        <v>823</v>
      </c>
      <c r="F30" s="415">
        <f>ROUND(Design!K101/SquareVol,0)</f>
        <v>0</v>
      </c>
      <c r="G30" s="316"/>
      <c r="H30" s="416" t="s">
        <v>824</v>
      </c>
      <c r="I30" s="415">
        <f>ROUND((Design!K68+Design!K69)/SquareVol,0)</f>
        <v>0</v>
      </c>
      <c r="J30" s="443"/>
    </row>
    <row r="31" spans="1:10" ht="12.75">
      <c r="A31" s="444"/>
      <c r="B31" s="416" t="s">
        <v>825</v>
      </c>
      <c r="C31" s="417">
        <f>ROUND(Design!K141/SquareVol,0)</f>
        <v>7</v>
      </c>
      <c r="D31" s="316"/>
      <c r="E31" s="416" t="s">
        <v>826</v>
      </c>
      <c r="F31" s="415">
        <f>ROUND(Design!K104/SquareVol,0)</f>
        <v>0</v>
      </c>
      <c r="G31" s="316"/>
      <c r="H31" s="416" t="s">
        <v>827</v>
      </c>
      <c r="I31" s="415">
        <f>ROUND(Design!K70/SquareVol,0)</f>
        <v>0</v>
      </c>
      <c r="J31" s="443"/>
    </row>
    <row r="32" spans="1:10" ht="12.75">
      <c r="A32" s="444"/>
      <c r="B32" s="416" t="s">
        <v>828</v>
      </c>
      <c r="C32" s="417">
        <f>ROUND(Design!K142/SquareVol,0)</f>
        <v>0</v>
      </c>
      <c r="D32" s="316"/>
      <c r="E32" s="416" t="s">
        <v>829</v>
      </c>
      <c r="F32" s="415">
        <f>ROUND(Design!K105/SquareVol,0)</f>
        <v>0</v>
      </c>
      <c r="G32" s="316"/>
      <c r="H32" s="416" t="s">
        <v>830</v>
      </c>
      <c r="I32" s="415">
        <f>ROUND(Design!K71/SquareVol,0)</f>
        <v>0</v>
      </c>
      <c r="J32" s="443"/>
    </row>
    <row r="33" spans="1:10" ht="12.75">
      <c r="A33" s="444"/>
      <c r="B33" s="416" t="s">
        <v>831</v>
      </c>
      <c r="C33" s="417">
        <f>ROUND(Design!K143/SquareVol,0)</f>
        <v>0</v>
      </c>
      <c r="D33" s="316"/>
      <c r="E33" s="416" t="s">
        <v>832</v>
      </c>
      <c r="F33" s="415">
        <f>ROUND(Design!K106/SquareVol,0)</f>
        <v>0</v>
      </c>
      <c r="G33" s="316"/>
      <c r="H33" s="416" t="s">
        <v>833</v>
      </c>
      <c r="I33" s="415">
        <f>ROUND(Design!K72/SquareVol,0)</f>
        <v>0</v>
      </c>
      <c r="J33" s="443"/>
    </row>
    <row r="34" spans="1:10" ht="12.75">
      <c r="A34" s="444"/>
      <c r="B34" s="416" t="s">
        <v>834</v>
      </c>
      <c r="C34" s="417">
        <f>ROUND(Design!K144/SquareVol,0)</f>
        <v>0</v>
      </c>
      <c r="D34" s="316"/>
      <c r="E34" s="416" t="s">
        <v>835</v>
      </c>
      <c r="F34" s="415">
        <f>ROUND(Design!K107/SquareVol,0)</f>
        <v>0</v>
      </c>
      <c r="G34" s="316"/>
      <c r="H34" s="416" t="str">
        <f>IF(Design!E73=0,"Damper tur.",CONCATENATE("Damper tur. (",ROUND(Design!K73/SquareVol,0),"sqs ea)"))</f>
        <v>Damper tur.</v>
      </c>
      <c r="I34" s="415">
        <f>ROUND(Design!K73/SquareVol,0)</f>
        <v>0</v>
      </c>
      <c r="J34" s="443"/>
    </row>
    <row r="35" spans="1:10" ht="12.75">
      <c r="A35" s="444"/>
      <c r="B35" s="416" t="s">
        <v>836</v>
      </c>
      <c r="C35" s="417">
        <f>ROUND(Design!K145/SquareVol,0)</f>
        <v>0</v>
      </c>
      <c r="D35" s="316"/>
      <c r="E35" s="416" t="s">
        <v>837</v>
      </c>
      <c r="F35" s="415">
        <f>ROUND(Design!K108/SquareVol,0)</f>
        <v>0</v>
      </c>
      <c r="G35" s="316"/>
      <c r="H35" s="416" t="s">
        <v>838</v>
      </c>
      <c r="I35" s="415">
        <f>ROUND(Design!K75/SquareVol,0)</f>
        <v>0</v>
      </c>
      <c r="J35" s="443"/>
    </row>
    <row r="36" spans="1:10" ht="12.75">
      <c r="A36" s="444"/>
      <c r="B36" s="416" t="s">
        <v>839</v>
      </c>
      <c r="C36" s="417">
        <f>ROUND(Design!K146/SquareVol,0)</f>
        <v>0</v>
      </c>
      <c r="D36" s="316"/>
      <c r="E36" s="416" t="s">
        <v>840</v>
      </c>
      <c r="F36" s="415">
        <f>ROUND(Design!K109/SquareVol,0)</f>
        <v>0</v>
      </c>
      <c r="G36" s="316"/>
      <c r="H36" s="416" t="s">
        <v>841</v>
      </c>
      <c r="I36" s="415">
        <f>ROUND(Design!K76/SquareVol,0)</f>
        <v>0</v>
      </c>
      <c r="J36" s="443"/>
    </row>
    <row r="37" spans="1:10" ht="12.75">
      <c r="A37" s="444"/>
      <c r="B37" s="416" t="s">
        <v>842</v>
      </c>
      <c r="C37" s="417">
        <f>ROUND(Design!K147/SquareVol,0)</f>
        <v>0</v>
      </c>
      <c r="D37" s="316"/>
      <c r="E37" s="416" t="s">
        <v>843</v>
      </c>
      <c r="F37" s="415">
        <f>ROUND(Design!K110/SquareVol,0)</f>
        <v>0</v>
      </c>
      <c r="G37" s="316"/>
      <c r="H37" s="416" t="str">
        <f>IF(Design!E77=0,"Sandcaster",CONCATENATE("Sandcaster (",ROUND(Design!K77/SquareVol,0),"sqs ea)"))</f>
        <v>Sandcaster</v>
      </c>
      <c r="I37" s="415">
        <f>ROUND(Design!K77/SquareVol,0)</f>
        <v>0</v>
      </c>
      <c r="J37" s="443"/>
    </row>
    <row r="38" spans="1:10" ht="12.75">
      <c r="A38" s="444"/>
      <c r="B38" s="416" t="s">
        <v>844</v>
      </c>
      <c r="C38" s="417">
        <f>ROUND(Design!K148/SquareVol,0)</f>
        <v>0</v>
      </c>
      <c r="D38" s="316"/>
      <c r="E38" s="416" t="s">
        <v>845</v>
      </c>
      <c r="F38" s="415">
        <f>ROUND(Design!K111/SquareVol,0)</f>
        <v>0</v>
      </c>
      <c r="G38" s="316"/>
      <c r="H38" s="416" t="str">
        <f>IF(Design!E78=0,"Gravtics",CONCATENATE("Gravtics (",ROUND(Design!K78/SquareVol,0),"sqs ea)"))</f>
        <v>Gravtics</v>
      </c>
      <c r="I38" s="415">
        <f>ROUND(Design!K78/SquareVol,0)</f>
        <v>0</v>
      </c>
      <c r="J38" s="443"/>
    </row>
    <row r="39" spans="1:10" ht="12.75">
      <c r="A39" s="444"/>
      <c r="B39" s="416" t="s">
        <v>846</v>
      </c>
      <c r="C39" s="417">
        <f>ROUND(Design!K149/SquareVol,0)</f>
        <v>0</v>
      </c>
      <c r="D39" s="316"/>
      <c r="E39" s="416" t="s">
        <v>847</v>
      </c>
      <c r="F39" s="415">
        <f>ROUND(Design!K112/SquareVol,0)</f>
        <v>0</v>
      </c>
      <c r="G39" s="316"/>
      <c r="H39" s="427" t="s">
        <v>848</v>
      </c>
      <c r="I39" s="421">
        <f>SUM(I14:I38)</f>
        <v>0</v>
      </c>
      <c r="J39" s="443"/>
    </row>
    <row r="40" spans="1:10" ht="12.75">
      <c r="A40" s="444"/>
      <c r="B40" s="416" t="s">
        <v>849</v>
      </c>
      <c r="C40" s="417">
        <f>ROUND(Design!K150/SquareVol,0)</f>
        <v>0</v>
      </c>
      <c r="D40" s="316"/>
      <c r="E40" s="416" t="s">
        <v>850</v>
      </c>
      <c r="F40" s="415">
        <f>ROUND(Design!K113/SquareVol,0)</f>
        <v>0</v>
      </c>
      <c r="G40" s="316"/>
      <c r="H40" s="316"/>
      <c r="I40" s="316"/>
      <c r="J40" s="443"/>
    </row>
    <row r="41" spans="1:10" ht="12.75">
      <c r="A41" s="444"/>
      <c r="B41" s="416" t="s">
        <v>851</v>
      </c>
      <c r="C41" s="417">
        <f>ROUND(Design!K151/SquareVol,0)</f>
        <v>0</v>
      </c>
      <c r="D41" s="316"/>
      <c r="E41" s="416" t="s">
        <v>852</v>
      </c>
      <c r="F41" s="415">
        <f>ROUND(Design!K114/SquareVol,0)</f>
        <v>0</v>
      </c>
      <c r="G41" s="316"/>
      <c r="H41" s="424" t="s">
        <v>853</v>
      </c>
      <c r="I41" s="420"/>
      <c r="J41" s="443"/>
    </row>
    <row r="42" spans="1:10" ht="12.75">
      <c r="A42" s="444"/>
      <c r="B42" s="416" t="s">
        <v>854</v>
      </c>
      <c r="C42" s="417">
        <f>ROUND(Design!K152/SquareVol,0)</f>
        <v>0</v>
      </c>
      <c r="D42" s="316"/>
      <c r="E42" s="416" t="s">
        <v>855</v>
      </c>
      <c r="F42" s="415">
        <f>ROUND(Design!K115/SquareVol,0)</f>
        <v>0</v>
      </c>
      <c r="G42" s="316"/>
      <c r="H42" s="422" t="s">
        <v>787</v>
      </c>
      <c r="I42" s="423" t="s">
        <v>788</v>
      </c>
      <c r="J42" s="443"/>
    </row>
    <row r="43" spans="1:10" ht="12.75">
      <c r="A43" s="444"/>
      <c r="B43" s="416" t="s">
        <v>856</v>
      </c>
      <c r="C43" s="417">
        <f>ROUND(Design!K153/SquareVol,0)</f>
        <v>0</v>
      </c>
      <c r="D43" s="316"/>
      <c r="E43" s="416" t="s">
        <v>857</v>
      </c>
      <c r="F43" s="415">
        <f>ROUND(Design!K116/SquareVol,0)</f>
        <v>0</v>
      </c>
      <c r="G43" s="316"/>
      <c r="H43" s="429" t="str">
        <f>IF(Design!E238=0,"Low berths",CONCATENATE("Low berths (",ROUND(14/SquareVol,0),"sqs ea)"))</f>
        <v>Low berths</v>
      </c>
      <c r="I43" s="415">
        <f>ROUND(Design!K238/SquareVol,0)</f>
        <v>0</v>
      </c>
      <c r="J43" s="443"/>
    </row>
    <row r="44" spans="1:10" ht="12.75">
      <c r="A44" s="444"/>
      <c r="B44" s="416" t="s">
        <v>858</v>
      </c>
      <c r="C44" s="417">
        <f>ROUND(Design!K154/SquareVol,0)</f>
        <v>0</v>
      </c>
      <c r="D44" s="316"/>
      <c r="E44" s="416" t="s">
        <v>859</v>
      </c>
      <c r="F44" s="415">
        <f>ROUND(Design!K117/SquareVol,0)</f>
        <v>0</v>
      </c>
      <c r="G44" s="316"/>
      <c r="H44" s="416" t="str">
        <f>IF(Design!E239=0,"Emer. low",CONCATENATE("Emer. low (",ROUND(28/SquareVol,0),"sqs ea)"))</f>
        <v>Emer. low</v>
      </c>
      <c r="I44" s="415">
        <f>ROUND(Design!K239/SquareVol,0)</f>
        <v>0</v>
      </c>
      <c r="J44" s="443"/>
    </row>
    <row r="45" spans="1:10" ht="12.75">
      <c r="A45" s="444"/>
      <c r="B45" s="416" t="s">
        <v>860</v>
      </c>
      <c r="C45" s="417">
        <f>ROUND(Design!K199/SquareVol,0)</f>
        <v>0</v>
      </c>
      <c r="D45" s="316"/>
      <c r="E45" s="416" t="s">
        <v>861</v>
      </c>
      <c r="F45" s="415">
        <f>ROUND(Design!K118/SquareVol,0)</f>
        <v>0</v>
      </c>
      <c r="G45" s="316"/>
      <c r="H45" s="416" t="str">
        <f>IF(Design!E240=0,"Sm. rooms",CONCATENATE("Sm rooms (",ROUND(28/SquareVol,0),"sqs ea)"))</f>
        <v>Sm rooms (6sqs ea)</v>
      </c>
      <c r="I45" s="415">
        <f>ROUND(Design!K240/SquareVol,0)</f>
        <v>25</v>
      </c>
      <c r="J45" s="443"/>
    </row>
    <row r="46" spans="1:10" ht="12.75">
      <c r="A46" s="444"/>
      <c r="B46" s="416" t="s">
        <v>862</v>
      </c>
      <c r="C46" s="417">
        <f>ROUND(Design!K202/SquareVol,0)</f>
        <v>0</v>
      </c>
      <c r="D46" s="316"/>
      <c r="E46" s="416" t="s">
        <v>863</v>
      </c>
      <c r="F46" s="415">
        <f>ROUND(Design!K119/SquareVol,0)</f>
        <v>0</v>
      </c>
      <c r="G46" s="316"/>
      <c r="H46" s="416" t="str">
        <f>IF(Design!E241=0,"Lg. rooms",CONCATENATE("Lg rooms (",ROUND(56/SquareVol,0),"sqs ea)"))</f>
        <v>Lg. rooms</v>
      </c>
      <c r="I46" s="415">
        <f>ROUND(Design!K241/SquareVol,0)</f>
        <v>0</v>
      </c>
      <c r="J46" s="443"/>
    </row>
    <row r="47" spans="1:10" ht="12.75">
      <c r="A47" s="444"/>
      <c r="B47" s="425" t="s">
        <v>864</v>
      </c>
      <c r="C47" s="426">
        <f>ROUND(Design!K203/SquareVol,0)</f>
        <v>0</v>
      </c>
      <c r="D47" s="316"/>
      <c r="E47" s="416" t="s">
        <v>865</v>
      </c>
      <c r="F47" s="415">
        <f>ROUND(Design!K122/SquareVol,0)</f>
        <v>0</v>
      </c>
      <c r="G47" s="316"/>
      <c r="H47" s="416" t="s">
        <v>329</v>
      </c>
      <c r="I47" s="415">
        <f>ROUND((Design!K245+Design!K246)/SquareVol,0)</f>
        <v>2</v>
      </c>
      <c r="J47" s="443"/>
    </row>
    <row r="48" spans="1:10" ht="12.75">
      <c r="A48" s="444"/>
      <c r="B48" s="427" t="s">
        <v>848</v>
      </c>
      <c r="C48" s="421">
        <f>SUM(C14:C47)</f>
        <v>58</v>
      </c>
      <c r="D48" s="316"/>
      <c r="E48" s="416" t="s">
        <v>866</v>
      </c>
      <c r="F48" s="415">
        <f>ROUND(Design!K123/SquareVol,0)</f>
        <v>0</v>
      </c>
      <c r="G48" s="316"/>
      <c r="H48" s="416" t="s">
        <v>867</v>
      </c>
      <c r="I48" s="415">
        <f>ROUND(Design!K249/SquareVol,0)</f>
        <v>0</v>
      </c>
      <c r="J48" s="443"/>
    </row>
    <row r="49" spans="1:10" ht="12.75">
      <c r="A49" s="444"/>
      <c r="B49" s="316"/>
      <c r="C49" s="316"/>
      <c r="D49" s="316"/>
      <c r="E49" s="416" t="s">
        <v>868</v>
      </c>
      <c r="F49" s="415">
        <f>ROUND(Design!K124/SquareVol,0)</f>
        <v>0</v>
      </c>
      <c r="G49" s="316"/>
      <c r="H49" s="416" t="str">
        <f>IF(Design!E250=0,"Ord. Galley",CONCATENATE("Ord. Galley (",ROUND((Design!K250/Design!E250)/SquareVol,0),"sqs ea)"))</f>
        <v>Ord. Galley (1sqs ea)</v>
      </c>
      <c r="I49" s="415">
        <f>ROUND(Design!K250/SquareVol,0)</f>
        <v>1</v>
      </c>
      <c r="J49" s="443"/>
    </row>
    <row r="50" spans="1:10" ht="12.75">
      <c r="A50" s="444"/>
      <c r="B50" s="424" t="s">
        <v>784</v>
      </c>
      <c r="C50" s="420"/>
      <c r="D50" s="316"/>
      <c r="E50" s="416" t="s">
        <v>869</v>
      </c>
      <c r="F50" s="415">
        <f>ROUND(Design!K125/SquareVol,0)</f>
        <v>0</v>
      </c>
      <c r="G50" s="316"/>
      <c r="H50" s="416" t="str">
        <f>IF(Design!E251=0,"Full. Galley",CONCATENATE("Full. Galley (",ROUND((Design!K251/Design!E251)/SquareVol,0),"sqs ea)"))</f>
        <v>Full. Galley</v>
      </c>
      <c r="I50" s="415">
        <f>ROUND(Design!K251/SquareVol,0)</f>
        <v>0</v>
      </c>
      <c r="J50" s="443"/>
    </row>
    <row r="51" spans="1:10" ht="12.75">
      <c r="A51" s="444"/>
      <c r="B51" s="422" t="s">
        <v>787</v>
      </c>
      <c r="C51" s="423" t="s">
        <v>788</v>
      </c>
      <c r="D51" s="316"/>
      <c r="E51" s="416" t="s">
        <v>870</v>
      </c>
      <c r="F51" s="415">
        <f>ROUND(Design!K126/SquareVol,0)</f>
        <v>0</v>
      </c>
      <c r="G51" s="316"/>
      <c r="H51" s="416" t="str">
        <f>IF(Design!E252=0,"Pass g-tanks",CONCATENATE("Pas. g-tanks (",ROUND(6.5/SquareVol,0),"sqs ea)"))</f>
        <v>Pass g-tanks</v>
      </c>
      <c r="I51" s="415">
        <f>ROUND(Design!K252/SquareVol,0)</f>
        <v>0</v>
      </c>
      <c r="J51" s="443"/>
    </row>
    <row r="52" spans="1:10" ht="12.75">
      <c r="A52" s="444"/>
      <c r="B52" s="429" t="str">
        <f>IF(Design!E159=0,"Hangar",CONCATENATE("Hangar (",ROUND((Design!K159/Design!E159)/SquareVol,0),"sqs ea)"))</f>
        <v>Hangar</v>
      </c>
      <c r="C52" s="426">
        <f>ROUND(Design!K159/SquareVol,0)</f>
        <v>0</v>
      </c>
      <c r="D52" s="316"/>
      <c r="E52" s="416" t="s">
        <v>871</v>
      </c>
      <c r="F52" s="415">
        <f>ROUND(Design!K127/SquareVol,0)</f>
        <v>0</v>
      </c>
      <c r="G52" s="316"/>
      <c r="H52" s="416" t="str">
        <f>IF(Design!E253=0,"Crew g-tanks",CONCATENATE("Crew g-tanks (",ROUND(5.5/SquareVol,0),"sqs ea)"))</f>
        <v>Crew g-tanks</v>
      </c>
      <c r="I52" s="415">
        <f>ROUND(Design!K253/SquareVol,0)</f>
        <v>0</v>
      </c>
      <c r="J52" s="443"/>
    </row>
    <row r="53" spans="1:10" ht="12.75">
      <c r="A53" s="444"/>
      <c r="B53" s="416" t="str">
        <f>IF(Design!E160=0,"Hangar",CONCATENATE("Hangar (",ROUND((Design!K160/Design!E160)/SquareVol,0),"sqs ea)"))</f>
        <v>Hangar</v>
      </c>
      <c r="C53" s="426">
        <f>ROUND(Design!K160/SquareVol,0)</f>
        <v>0</v>
      </c>
      <c r="D53" s="316"/>
      <c r="E53" s="416" t="s">
        <v>872</v>
      </c>
      <c r="F53" s="415">
        <f>ROUND(Design!K128/SquareVol,0)</f>
        <v>0</v>
      </c>
      <c r="G53" s="316"/>
      <c r="H53" s="416" t="s">
        <v>873</v>
      </c>
      <c r="I53" s="415">
        <f>ROUND((Design!K254+Design!K255)/SquareVol,0)</f>
        <v>0</v>
      </c>
      <c r="J53" s="443"/>
    </row>
    <row r="54" spans="1:10" ht="12.75">
      <c r="A54" s="444"/>
      <c r="B54" s="416" t="str">
        <f>IF(Design!E161=0,"Hangar",CONCATENATE("Hangar (",ROUND((Design!K161/Design!E161)/SquareVol,0),"sqs ea)"))</f>
        <v>Hangar</v>
      </c>
      <c r="C54" s="426">
        <f>ROUND(Design!K161/SquareVol,0)</f>
        <v>0</v>
      </c>
      <c r="D54" s="316"/>
      <c r="E54" s="416" t="s">
        <v>874</v>
      </c>
      <c r="F54" s="415">
        <f>ROUND(Design!K129/SquareVol,0)</f>
        <v>0</v>
      </c>
      <c r="G54" s="316"/>
      <c r="H54" s="416" t="s">
        <v>875</v>
      </c>
      <c r="I54" s="415">
        <f>ROUND(Design!K256/SquareVol,0)</f>
        <v>1</v>
      </c>
      <c r="J54" s="443"/>
    </row>
    <row r="55" spans="1:10" ht="12.75">
      <c r="A55" s="444"/>
      <c r="B55" s="416" t="str">
        <f>IF(Design!E162=0,"Hangar",CONCATENATE("Hangar (",ROUND((Design!K162/Design!E162)/SquareVol,0),"sqs ea)"))</f>
        <v>Hangar</v>
      </c>
      <c r="C55" s="426">
        <f>ROUND(Design!K162/SquareVol,0)</f>
        <v>0</v>
      </c>
      <c r="D55" s="316"/>
      <c r="E55" s="416" t="s">
        <v>876</v>
      </c>
      <c r="F55" s="415">
        <f>ROUND(SUM(Design!K130:K135)/SquareVol,0)</f>
        <v>0</v>
      </c>
      <c r="G55" s="316"/>
      <c r="H55" s="416" t="str">
        <f>IF(Design!E173=0,"Elec. shop",CONCATENATE("Elec. shop (",ROUND(84/SquareVol,0),"sqs ea)"))</f>
        <v>Elec. shop</v>
      </c>
      <c r="I55" s="415">
        <f>ROUND(Design!K173/SquareVol,0)</f>
        <v>0</v>
      </c>
      <c r="J55" s="443"/>
    </row>
    <row r="56" spans="1:10" ht="12.75">
      <c r="A56" s="444"/>
      <c r="B56" s="416" t="str">
        <f>IF(Design!E163=0,"Ring",CONCATENATE("Ring (",ROUND((Design!K163/Design!E163)/SquareVol,0),"sqs ea)"))</f>
        <v>Ring</v>
      </c>
      <c r="C56" s="426">
        <f>ROUND(Design!K163/SquareVol,0)</f>
        <v>0</v>
      </c>
      <c r="D56" s="316"/>
      <c r="E56" s="430" t="str">
        <f>IF(Design!E229=0,"Workstations",CONCATENATE("Workstations (",ROUND(7/SquareVol,0),"sqs ea)"))</f>
        <v>Workstations (2sqs ea)</v>
      </c>
      <c r="F56" s="415">
        <f>ROUND(Design!K229/SquareVol,0)</f>
        <v>6</v>
      </c>
      <c r="G56" s="316"/>
      <c r="H56" s="416" t="str">
        <f>IF(Design!E174=0,"Mach. shop",CONCATENATE("Mach. shop (",ROUND(140/SquareVol,0),"sqs ea)"))</f>
        <v>Mach. shop</v>
      </c>
      <c r="I56" s="415">
        <f>ROUND(Design!K174/SquareVol,0)</f>
        <v>0</v>
      </c>
      <c r="J56" s="443"/>
    </row>
    <row r="57" spans="1:10" ht="12.75">
      <c r="A57" s="444"/>
      <c r="B57" s="416" t="str">
        <f>IF(Design!E164=0,"Ring",CONCATENATE("Ring (",ROUND((Design!K164/Design!E164)/SquareVol,0),"sqs ea)"))</f>
        <v>Ring</v>
      </c>
      <c r="C57" s="426">
        <f>ROUND(Design!K164/SquareVol,0)</f>
        <v>0</v>
      </c>
      <c r="D57" s="316"/>
      <c r="E57" s="430" t="str">
        <f>IF(Design!E230=0,"Bridgestations",CONCATENATE("Bridgestations (",ROUND(14/SquareVol,0),"sqs ea)"))</f>
        <v>Bridgestations</v>
      </c>
      <c r="F57" s="417">
        <f>ROUND(Design!K230/SquareVol,0)</f>
        <v>0</v>
      </c>
      <c r="G57" s="316"/>
      <c r="H57" s="416" t="str">
        <f>IF(Design!E175=0,"Laboratory",CONCATENATE("Laboratory (",ROUND(112/SquareVol,0),"sqs ea)"))</f>
        <v>Laboratory</v>
      </c>
      <c r="I57" s="415">
        <f>ROUND(Design!K175/SquareVol,0)</f>
        <v>0</v>
      </c>
      <c r="J57" s="443"/>
    </row>
    <row r="58" spans="1:10" ht="12.75">
      <c r="A58" s="444"/>
      <c r="B58" s="416" t="str">
        <f>IF(Design!E165=0,"Jettison bay",CONCATENATE("Jettison bay (",ROUND((Design!K165/Design!E165)/SquareVol,0),"sqs ea)"))</f>
        <v>Jettison bay</v>
      </c>
      <c r="C58" s="426">
        <f>ROUND(Design!K165/SquareVol,0)</f>
        <v>0</v>
      </c>
      <c r="D58" s="316"/>
      <c r="E58" s="430" t="str">
        <f>IF(Design!E233=0,"Seat, restr.",CONCATENATE("Seat, restr. (",ROUND(1.5/SquareVol,0),"sqs ea)"))</f>
        <v>Seat, restr.</v>
      </c>
      <c r="F58" s="417">
        <f>ROUND(Design!K233/SquareVol,0)</f>
        <v>0</v>
      </c>
      <c r="G58" s="316"/>
      <c r="H58" s="416" t="str">
        <f>IF(Design!E176=0,"Sickbay",CONCATENATE("Sickbay (",ROUND(112/SquareVol,0),"sqs ea)"))</f>
        <v>Sickbay</v>
      </c>
      <c r="I58" s="415">
        <f>ROUND(Design!K176/SquareVol,0)</f>
        <v>0</v>
      </c>
      <c r="J58" s="443"/>
    </row>
    <row r="59" spans="1:10" ht="12.75">
      <c r="A59" s="444"/>
      <c r="B59" s="416" t="str">
        <f>IF(Design!E166=0,"Jettison bay",CONCATENATE("Jettison bay (",ROUND((Design!K166/Design!E166)/SquareVol,0),"sqs ea)"))</f>
        <v>Jettison bay</v>
      </c>
      <c r="C59" s="426">
        <f>ROUND(Design!K166/SquareVol,0)</f>
        <v>0</v>
      </c>
      <c r="D59" s="316"/>
      <c r="E59" s="430" t="str">
        <f>IF(Design!E234=0,"Seat, cramp.",CONCATENATE("Seat, cramp. (",ROUND(2.5/SquareVol,0),"sqs ea)"))</f>
        <v>Seat, cramp.</v>
      </c>
      <c r="F59" s="417">
        <f>ROUND(Design!K234/SquareVol,0)</f>
        <v>0</v>
      </c>
      <c r="G59" s="316"/>
      <c r="H59" s="416" t="s">
        <v>877</v>
      </c>
      <c r="I59" s="415">
        <f>ROUND(Design!K177/SquareVol,0)</f>
        <v>0</v>
      </c>
      <c r="J59" s="443"/>
    </row>
    <row r="60" spans="1:10" ht="12.75">
      <c r="A60" s="444"/>
      <c r="B60" s="416" t="str">
        <f>IF(Design!E167=0,"Tube",CONCATENATE("Tube (",ROUND((Design!K167/Design!E167)/SquareVol,0),"sqs ea)"))</f>
        <v>Tube</v>
      </c>
      <c r="C60" s="426">
        <f>ROUND(Design!K167/SquareVol,0)</f>
        <v>0</v>
      </c>
      <c r="D60" s="316"/>
      <c r="E60" s="430" t="str">
        <f>IF(Design!E235=0,"Seat, adeq.",CONCATENATE("Seat, adeq. (",ROUND(3.5/SquareVol,0),"sqs ea)"))</f>
        <v>Seat, adeq.</v>
      </c>
      <c r="F60" s="417">
        <f>ROUND(Design!K235/SquareVol,0)</f>
        <v>0</v>
      </c>
      <c r="G60" s="316"/>
      <c r="H60" s="416" t="s">
        <v>878</v>
      </c>
      <c r="I60" s="415">
        <f>ROUND((Design!K178+Design!K179+Design!K180)/SquareVol,0)</f>
        <v>0</v>
      </c>
      <c r="J60" s="443"/>
    </row>
    <row r="61" spans="1:10" ht="12.75">
      <c r="A61" s="444"/>
      <c r="B61" s="418" t="str">
        <f>IF(Design!E168=0,"Tube",CONCATENATE("Tube (",ROUND((Design!K168/Design!E168)/SquareVol,0),"sqs ea)"))</f>
        <v>Tube</v>
      </c>
      <c r="C61" s="426">
        <f>ROUND(Design!K168/SquareVol,0)</f>
        <v>0</v>
      </c>
      <c r="D61" s="316"/>
      <c r="E61" s="430" t="str">
        <f>IF(Design!E236=0,"Seat, room.",CONCATENATE("Seat, room. (",ROUND(14/SquareVol,0),"sqs ea)"))</f>
        <v>Seat, room.</v>
      </c>
      <c r="F61" s="417">
        <f>ROUND(Design!K236/SquareVol,0)</f>
        <v>0</v>
      </c>
      <c r="G61" s="316"/>
      <c r="H61" s="416" t="s">
        <v>879</v>
      </c>
      <c r="I61" s="415">
        <f>ROUND(Design!K181/SquareVol,0)</f>
        <v>0</v>
      </c>
      <c r="J61" s="443"/>
    </row>
    <row r="62" spans="1:10" ht="12.75">
      <c r="A62" s="444"/>
      <c r="B62" s="427" t="s">
        <v>848</v>
      </c>
      <c r="C62" s="421">
        <f>SUM(C52:C61)</f>
        <v>0</v>
      </c>
      <c r="D62" s="316"/>
      <c r="E62" s="427" t="s">
        <v>848</v>
      </c>
      <c r="F62" s="421">
        <f>SUM(F14:F61)</f>
        <v>6</v>
      </c>
      <c r="G62" s="316"/>
      <c r="H62" s="416" t="str">
        <f>IF(Design!E182=0,"Gym",CONCATENATE("Gym (",ROUND(35/SquareVol,0),"sqs ea)"))</f>
        <v>Gym</v>
      </c>
      <c r="I62" s="415">
        <f>ROUND(Design!K182/SquareVol,0)</f>
        <v>0</v>
      </c>
      <c r="J62" s="443"/>
    </row>
    <row r="63" spans="1:10" ht="12.75">
      <c r="A63" s="444"/>
      <c r="B63" s="316"/>
      <c r="C63" s="316"/>
      <c r="D63" s="316"/>
      <c r="E63" s="316"/>
      <c r="F63" s="316"/>
      <c r="G63" s="316"/>
      <c r="H63" s="416" t="str">
        <f>IF(Design!E183=0,"Other",CONCATENATE(Design!J183," (",ROUND((Design!K183/Design!E183)/SquareVol,0),"sqs ea)"))</f>
        <v>Other</v>
      </c>
      <c r="I63" s="415">
        <f>ROUND(Design!K183/SquareVol,0)</f>
        <v>0</v>
      </c>
      <c r="J63" s="443"/>
    </row>
    <row r="64" spans="1:10" ht="12.75">
      <c r="A64" s="444"/>
      <c r="B64" s="424" t="s">
        <v>880</v>
      </c>
      <c r="C64" s="420"/>
      <c r="D64" s="316"/>
      <c r="E64" s="316"/>
      <c r="F64" s="316"/>
      <c r="G64" s="316"/>
      <c r="H64" s="416" t="str">
        <f>IF(Design!E184=0,"Other",CONCATENATE(Design!J184," (",ROUND((Design!K184/Design!E184)/SquareVol,0),"sqs ea)"))</f>
        <v>Other</v>
      </c>
      <c r="I64" s="415">
        <f>ROUND(Design!K184/SquareVol,0)</f>
        <v>0</v>
      </c>
      <c r="J64" s="443"/>
    </row>
    <row r="65" spans="1:10" ht="12.75">
      <c r="A65" s="444"/>
      <c r="B65" s="422" t="s">
        <v>787</v>
      </c>
      <c r="C65" s="423" t="s">
        <v>788</v>
      </c>
      <c r="D65" s="316"/>
      <c r="E65" s="316"/>
      <c r="F65" s="316"/>
      <c r="G65" s="316"/>
      <c r="H65" s="416" t="str">
        <f>IF(Design!$E$185=0,"Special",CONCATENATE(Design!J185," (",ROUND((Design!$K$185/Design!$E$185)/SquareVol,0),"sqs ea)"))</f>
        <v>Special</v>
      </c>
      <c r="I65" s="415">
        <f>ROUND(Design!K185/SquareVol,0)</f>
        <v>0</v>
      </c>
      <c r="J65" s="443"/>
    </row>
    <row r="66" spans="1:10" ht="12.75">
      <c r="A66" s="444"/>
      <c r="B66" s="416" t="str">
        <f>IF(Design!$E$191=0,"Bay",CONCATENATE("Bay (",ROUND((Design!$K$191/Design!$E$191)/SquareVol,0),"sqs ea)"))</f>
        <v>Bay</v>
      </c>
      <c r="C66" s="415">
        <f>ROUND(Design!K191/SquareVol,0)</f>
        <v>0</v>
      </c>
      <c r="D66" s="316"/>
      <c r="E66" s="316"/>
      <c r="F66" s="316"/>
      <c r="G66" s="316"/>
      <c r="H66" s="416" t="str">
        <f>IF(Design!E186=0,"Special",CONCATENATE(Design!J186," (",ROUND((Design!K186/Design!E186)/SquareVol,0),"sqs ea)"))</f>
        <v>Special</v>
      </c>
      <c r="I66" s="415">
        <f>ROUND(Design!K186/SquareVol,0)</f>
        <v>0</v>
      </c>
      <c r="J66" s="443"/>
    </row>
    <row r="67" spans="1:10" ht="12.75">
      <c r="A67" s="444"/>
      <c r="B67" s="416" t="str">
        <f>IF(Design!$E$194=0,"Handlers",CONCATENATE("Handlers (",ROUND((Design!$K$194/Design!$E$194)/SquareVol,0),"sqs ea)"))</f>
        <v>Handlers</v>
      </c>
      <c r="C67" s="415">
        <f>ROUND(Design!K192/SquareVol,0)</f>
        <v>0</v>
      </c>
      <c r="D67" s="316"/>
      <c r="E67" s="316"/>
      <c r="F67" s="316"/>
      <c r="G67" s="316"/>
      <c r="H67" s="418" t="s">
        <v>881</v>
      </c>
      <c r="I67" s="415">
        <f>ROUND(Design!K187/SquareVol,0)</f>
        <v>0</v>
      </c>
      <c r="J67" s="443"/>
    </row>
    <row r="68" spans="1:10" ht="12.75">
      <c r="A68" s="444"/>
      <c r="B68" s="427" t="s">
        <v>848</v>
      </c>
      <c r="C68" s="421">
        <f>SUM(C66:C67)</f>
        <v>0</v>
      </c>
      <c r="D68" s="316"/>
      <c r="E68" s="316"/>
      <c r="F68" s="316"/>
      <c r="G68" s="316"/>
      <c r="H68" s="427" t="s">
        <v>848</v>
      </c>
      <c r="I68" s="421">
        <f>SUM(I43:I67)</f>
        <v>29</v>
      </c>
      <c r="J68" s="443"/>
    </row>
    <row r="69" spans="1:10" ht="12.75">
      <c r="A69" s="445"/>
      <c r="B69" s="446"/>
      <c r="C69" s="446"/>
      <c r="D69" s="446"/>
      <c r="E69" s="446"/>
      <c r="F69" s="446"/>
      <c r="G69" s="446"/>
      <c r="H69" s="446"/>
      <c r="I69" s="446"/>
      <c r="J69" s="447"/>
    </row>
  </sheetData>
  <sheetProtection sheet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U65536"/>
  <sheetViews>
    <sheetView showGridLines="0" showRowColHeaders="0" workbookViewId="0" topLeftCell="A1">
      <pane ySplit="7515" topLeftCell="BM256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1.1484375" style="0" customWidth="1"/>
    <col min="2" max="2" width="1.1484375" style="196" customWidth="1"/>
    <col min="3" max="3" width="16.140625" style="196" customWidth="1"/>
    <col min="4" max="4" width="4.7109375" style="197" customWidth="1"/>
    <col min="5" max="5" width="5.00390625" style="197" customWidth="1"/>
    <col min="6" max="6" width="7.7109375" style="197" customWidth="1"/>
    <col min="7" max="9" width="3.28125" style="197" customWidth="1"/>
    <col min="10" max="10" width="18.7109375" style="197" customWidth="1"/>
    <col min="11" max="14" width="10.7109375" style="41" customWidth="1"/>
    <col min="15" max="15" width="11.7109375" style="32" customWidth="1"/>
    <col min="16" max="16" width="1.1484375" style="196" customWidth="1"/>
    <col min="17" max="17" width="84.7109375" style="196" customWidth="1"/>
    <col min="18" max="16384" width="8.421875" style="196" customWidth="1"/>
  </cols>
  <sheetData>
    <row r="1" spans="1:17" ht="11.25">
      <c r="A1" s="56"/>
      <c r="B1" s="56"/>
      <c r="C1" s="56"/>
      <c r="D1" s="57">
        <v>15</v>
      </c>
      <c r="E1" s="57"/>
      <c r="F1" s="57"/>
      <c r="G1" s="57"/>
      <c r="H1" s="57"/>
      <c r="I1" s="57"/>
      <c r="J1" s="57"/>
      <c r="K1" s="42"/>
      <c r="L1" s="42"/>
      <c r="M1" s="42"/>
      <c r="N1" s="42"/>
      <c r="O1" s="33"/>
      <c r="P1" s="56"/>
      <c r="Q1" s="56"/>
    </row>
    <row r="2" spans="1:17" ht="20.25">
      <c r="A2" s="54"/>
      <c r="B2" s="55" t="s">
        <v>882</v>
      </c>
      <c r="C2" s="43"/>
      <c r="D2" s="44"/>
      <c r="E2" s="44"/>
      <c r="F2" s="44"/>
      <c r="G2" s="44"/>
      <c r="H2" s="44"/>
      <c r="I2" s="44"/>
      <c r="J2" s="44"/>
      <c r="K2" s="46"/>
      <c r="L2" s="46"/>
      <c r="M2" s="46"/>
      <c r="N2" s="46"/>
      <c r="O2" s="36"/>
      <c r="P2" s="50"/>
      <c r="Q2" s="56"/>
    </row>
    <row r="3" spans="1:17" ht="12.75">
      <c r="A3" s="54"/>
      <c r="B3" s="47"/>
      <c r="C3" s="52"/>
      <c r="D3" s="61"/>
      <c r="E3" s="61"/>
      <c r="F3" s="61"/>
      <c r="G3" s="61"/>
      <c r="H3" s="61"/>
      <c r="I3" s="61"/>
      <c r="J3" s="61"/>
      <c r="K3" s="51"/>
      <c r="L3" s="51"/>
      <c r="M3" s="51"/>
      <c r="N3" s="51"/>
      <c r="O3" s="45"/>
      <c r="P3" s="83"/>
      <c r="Q3" s="56"/>
    </row>
    <row r="4" spans="1:17" ht="12.75">
      <c r="A4" s="54"/>
      <c r="B4" s="47"/>
      <c r="C4" s="236" t="s">
        <v>883</v>
      </c>
      <c r="D4" s="307" t="s">
        <v>884</v>
      </c>
      <c r="E4" s="7"/>
      <c r="F4" s="7"/>
      <c r="G4" s="7"/>
      <c r="H4" s="7"/>
      <c r="I4" s="7"/>
      <c r="J4" s="7"/>
      <c r="K4" s="53"/>
      <c r="L4" s="53"/>
      <c r="M4" s="53"/>
      <c r="N4" s="53"/>
      <c r="O4" s="48"/>
      <c r="P4" s="83"/>
      <c r="Q4" s="56"/>
    </row>
    <row r="5" spans="1:17" ht="12.75">
      <c r="A5" s="54"/>
      <c r="B5" s="47"/>
      <c r="C5" s="249" t="s">
        <v>885</v>
      </c>
      <c r="D5" s="308" t="s">
        <v>886</v>
      </c>
      <c r="E5" s="8"/>
      <c r="F5" s="8"/>
      <c r="G5" s="8"/>
      <c r="H5" s="8"/>
      <c r="I5" s="8"/>
      <c r="J5" s="8"/>
      <c r="K5" s="60"/>
      <c r="L5" s="60"/>
      <c r="M5" s="60"/>
      <c r="N5" s="60"/>
      <c r="O5" s="58"/>
      <c r="P5" s="83"/>
      <c r="Q5" s="56"/>
    </row>
    <row r="6" spans="1:17" ht="12.75">
      <c r="A6" s="54"/>
      <c r="B6" s="47"/>
      <c r="C6" s="249" t="s">
        <v>887</v>
      </c>
      <c r="D6" s="308" t="s">
        <v>888</v>
      </c>
      <c r="E6" s="8"/>
      <c r="F6" s="8"/>
      <c r="G6" s="8"/>
      <c r="H6" s="8"/>
      <c r="I6" s="8"/>
      <c r="J6" s="8"/>
      <c r="K6" s="60"/>
      <c r="L6" s="60"/>
      <c r="M6" s="60"/>
      <c r="N6" s="60"/>
      <c r="O6" s="58"/>
      <c r="P6" s="83"/>
      <c r="Q6" s="56"/>
    </row>
    <row r="7" spans="1:17" ht="12.75">
      <c r="A7" s="54"/>
      <c r="B7" s="47"/>
      <c r="C7" s="249" t="s">
        <v>889</v>
      </c>
      <c r="D7" s="308" t="s">
        <v>890</v>
      </c>
      <c r="E7" s="8"/>
      <c r="F7" s="8"/>
      <c r="G7" s="8"/>
      <c r="H7" s="8"/>
      <c r="I7" s="8"/>
      <c r="J7" s="8"/>
      <c r="K7" s="60"/>
      <c r="L7" s="60"/>
      <c r="M7" s="60"/>
      <c r="N7" s="60"/>
      <c r="O7" s="58"/>
      <c r="P7" s="83"/>
      <c r="Q7" s="56"/>
    </row>
    <row r="8" spans="1:17" ht="12.75">
      <c r="A8" s="54"/>
      <c r="B8" s="47"/>
      <c r="C8" s="249" t="s">
        <v>891</v>
      </c>
      <c r="D8" s="125"/>
      <c r="E8" s="125"/>
      <c r="F8" s="125"/>
      <c r="G8" s="125"/>
      <c r="H8" s="125"/>
      <c r="I8" s="291"/>
      <c r="J8" s="151">
        <v>0</v>
      </c>
      <c r="K8" s="130"/>
      <c r="L8" s="130"/>
      <c r="M8" s="130"/>
      <c r="N8" s="130"/>
      <c r="O8" s="135"/>
      <c r="P8" s="83"/>
      <c r="Q8" s="56"/>
    </row>
    <row r="9" spans="1:17" ht="12.75">
      <c r="A9" s="54"/>
      <c r="B9" s="47"/>
      <c r="C9" s="249" t="s">
        <v>892</v>
      </c>
      <c r="D9" s="65">
        <v>1</v>
      </c>
      <c r="E9" s="125"/>
      <c r="F9" s="125"/>
      <c r="G9" s="125"/>
      <c r="H9" s="125"/>
      <c r="I9" s="125"/>
      <c r="J9" s="125"/>
      <c r="K9" s="23"/>
      <c r="L9" s="23"/>
      <c r="M9" s="23"/>
      <c r="N9" s="23"/>
      <c r="O9" s="28"/>
      <c r="P9" s="83"/>
      <c r="Q9" s="56"/>
    </row>
    <row r="10" spans="1:17" ht="12.75">
      <c r="A10" s="54"/>
      <c r="B10" s="47"/>
      <c r="C10" s="249" t="s">
        <v>893</v>
      </c>
      <c r="D10" s="165">
        <v>1</v>
      </c>
      <c r="E10" s="125"/>
      <c r="F10" s="125"/>
      <c r="G10" s="125"/>
      <c r="H10" s="125"/>
      <c r="I10" s="125"/>
      <c r="J10" s="125"/>
      <c r="K10" s="23"/>
      <c r="L10" s="23"/>
      <c r="M10" s="23"/>
      <c r="N10" s="23"/>
      <c r="O10" s="28"/>
      <c r="P10" s="83"/>
      <c r="Q10" s="56"/>
    </row>
    <row r="11" spans="1:17" ht="12.75">
      <c r="A11" s="54"/>
      <c r="B11" s="47"/>
      <c r="C11" s="249" t="s">
        <v>894</v>
      </c>
      <c r="D11" s="165">
        <v>0</v>
      </c>
      <c r="E11" s="1" t="str">
        <f>IF(D11=0,"No","Yes")</f>
        <v>No</v>
      </c>
      <c r="F11" s="21"/>
      <c r="G11" s="125"/>
      <c r="H11" s="125"/>
      <c r="I11" s="125"/>
      <c r="J11" s="125"/>
      <c r="K11" s="23"/>
      <c r="L11" s="23"/>
      <c r="M11" s="23"/>
      <c r="N11" s="23"/>
      <c r="O11" s="28"/>
      <c r="P11" s="83"/>
      <c r="Q11" s="56"/>
    </row>
    <row r="12" spans="1:17" ht="12.75">
      <c r="A12" s="54"/>
      <c r="B12" s="47"/>
      <c r="C12" s="249" t="s">
        <v>895</v>
      </c>
      <c r="D12" s="155">
        <v>0</v>
      </c>
      <c r="E12" s="1" t="str">
        <f>CHOOSE((D12+1),"Civilian","Military")</f>
        <v>Civilian</v>
      </c>
      <c r="F12" s="21"/>
      <c r="G12" s="125"/>
      <c r="H12" s="125"/>
      <c r="I12" s="125"/>
      <c r="J12" s="125"/>
      <c r="K12" s="23"/>
      <c r="L12" s="23"/>
      <c r="M12" s="23"/>
      <c r="N12" s="23"/>
      <c r="O12" s="28"/>
      <c r="P12" s="83"/>
      <c r="Q12" s="56"/>
    </row>
    <row r="13" spans="1:17" ht="12.75">
      <c r="A13" s="54"/>
      <c r="B13" s="47"/>
      <c r="C13" s="177" t="s">
        <v>896</v>
      </c>
      <c r="D13" s="65">
        <v>1</v>
      </c>
      <c r="E13" s="1" t="str">
        <f>IF(D13=0,"No","Yes")</f>
        <v>Yes</v>
      </c>
      <c r="F13" s="119"/>
      <c r="G13" s="126"/>
      <c r="H13" s="126"/>
      <c r="I13" s="126"/>
      <c r="J13" s="126"/>
      <c r="K13" s="126"/>
      <c r="L13" s="126"/>
      <c r="M13" s="126"/>
      <c r="N13" s="126"/>
      <c r="O13" s="129"/>
      <c r="P13" s="83"/>
      <c r="Q13" s="56"/>
    </row>
    <row r="14" spans="1:17" ht="12.75">
      <c r="A14" s="54"/>
      <c r="B14" s="47"/>
      <c r="C14" s="276" t="s">
        <v>897</v>
      </c>
      <c r="D14" s="65">
        <v>0</v>
      </c>
      <c r="E14" s="305" t="str">
        <f>IF(D14=0,"No","Yes")</f>
        <v>No</v>
      </c>
      <c r="F14" s="100"/>
      <c r="G14" s="543" t="s">
        <v>898</v>
      </c>
      <c r="H14" s="544"/>
      <c r="I14" s="543" t="s">
        <v>899</v>
      </c>
      <c r="J14" s="544"/>
      <c r="K14" s="545"/>
      <c r="L14" s="545"/>
      <c r="M14" s="66"/>
      <c r="N14" s="66"/>
      <c r="O14" s="72"/>
      <c r="P14" s="83"/>
      <c r="Q14" s="56"/>
    </row>
    <row r="15" spans="1:17" ht="12.75">
      <c r="A15" s="54"/>
      <c r="B15" s="47"/>
      <c r="C15" s="179" t="s">
        <v>900</v>
      </c>
      <c r="D15" s="157">
        <v>12</v>
      </c>
      <c r="E15" s="279"/>
      <c r="F15" s="280"/>
      <c r="G15" s="543"/>
      <c r="H15" s="546"/>
      <c r="I15" s="543" t="s">
        <v>901</v>
      </c>
      <c r="J15" s="546"/>
      <c r="K15" s="547"/>
      <c r="L15" s="547"/>
      <c r="M15" s="66"/>
      <c r="N15" s="66"/>
      <c r="O15" s="72"/>
      <c r="P15" s="83"/>
      <c r="Q15" s="56"/>
    </row>
    <row r="16" spans="1:17" ht="12.75">
      <c r="A16" s="54"/>
      <c r="B16" s="47"/>
      <c r="C16" s="52"/>
      <c r="D16" s="61"/>
      <c r="E16" s="61"/>
      <c r="F16" s="61"/>
      <c r="G16" s="548"/>
      <c r="H16" s="548"/>
      <c r="I16" s="549" t="s">
        <v>902</v>
      </c>
      <c r="J16" s="548"/>
      <c r="K16" s="550"/>
      <c r="L16" s="550"/>
      <c r="M16" s="51"/>
      <c r="N16" s="51"/>
      <c r="O16" s="45"/>
      <c r="P16" s="83"/>
      <c r="Q16" s="56"/>
    </row>
    <row r="17" spans="1:17" ht="12.75">
      <c r="A17" s="54"/>
      <c r="B17" s="131"/>
      <c r="C17" s="29" t="s">
        <v>176</v>
      </c>
      <c r="D17" s="35" t="s">
        <v>903</v>
      </c>
      <c r="E17" s="35" t="s">
        <v>904</v>
      </c>
      <c r="F17" s="35" t="s">
        <v>905</v>
      </c>
      <c r="G17" s="35" t="s">
        <v>906</v>
      </c>
      <c r="H17" s="35" t="s">
        <v>907</v>
      </c>
      <c r="I17" s="35" t="s">
        <v>908</v>
      </c>
      <c r="J17" s="35" t="s">
        <v>909</v>
      </c>
      <c r="K17" s="15" t="s">
        <v>910</v>
      </c>
      <c r="L17" s="15" t="s">
        <v>911</v>
      </c>
      <c r="M17" s="15" t="s">
        <v>912</v>
      </c>
      <c r="N17" s="15" t="s">
        <v>913</v>
      </c>
      <c r="O17" s="73" t="s">
        <v>914</v>
      </c>
      <c r="P17" s="136"/>
      <c r="Q17" s="56"/>
    </row>
    <row r="18" spans="1:17" ht="12.75">
      <c r="A18" s="54"/>
      <c r="B18" s="47"/>
      <c r="C18" s="254" t="s">
        <v>915</v>
      </c>
      <c r="D18" s="271"/>
      <c r="E18" s="271"/>
      <c r="F18" s="71">
        <v>100</v>
      </c>
      <c r="G18" s="271"/>
      <c r="H18" s="271"/>
      <c r="I18" s="271"/>
      <c r="J18" s="271"/>
      <c r="K18" s="68">
        <f>F18*14</f>
        <v>1400</v>
      </c>
      <c r="L18" s="70"/>
      <c r="M18" s="68">
        <f>(Tables!F6*Tables!F13)*IF(F21=2,1.3,1)</f>
        <v>605.2</v>
      </c>
      <c r="N18" s="70"/>
      <c r="O18" s="79"/>
      <c r="P18" s="83"/>
      <c r="Q18" s="56"/>
    </row>
    <row r="19" spans="1:17" ht="12.75">
      <c r="A19" s="54"/>
      <c r="B19" s="47"/>
      <c r="C19" s="257" t="s">
        <v>916</v>
      </c>
      <c r="D19" s="455">
        <v>12</v>
      </c>
      <c r="E19" s="271"/>
      <c r="F19" s="71">
        <v>15</v>
      </c>
      <c r="G19" s="271"/>
      <c r="H19" s="271"/>
      <c r="I19" s="271"/>
      <c r="J19" s="272" t="str">
        <f>IF(D19&lt;CHOOSE((F19+1),0,0,1,3,4,5,6,6,6,7,7,7,8,9,10,12,12,14,15,16,17,18),"TL Violation",CHOOSE((((F19+1)-1)+1),"Hides","Lt Wood","Wood","Iron","Soft Steel","Hard Steel","Light Alloy","Fiberglass","Titanium Alloy","Light Composite","Aluminum","Adv Fiberglass","Composite Laminate","Light Ceramics","Crystaliron","Superdense","Adv Composites","Bonded SD","En. Bonded SD","Collapsed Crystalline","Coherent SD","En Coherent SD"))</f>
        <v>Superdense</v>
      </c>
      <c r="K19" s="70"/>
      <c r="L19" s="70"/>
      <c r="M19" s="70"/>
      <c r="N19" s="70"/>
      <c r="O19" s="79"/>
      <c r="P19" s="83"/>
      <c r="Q19" s="56"/>
    </row>
    <row r="20" spans="1:17" ht="12.75">
      <c r="A20" s="54"/>
      <c r="B20" s="47"/>
      <c r="C20" s="257" t="s">
        <v>917</v>
      </c>
      <c r="D20" s="271"/>
      <c r="E20" s="271"/>
      <c r="F20" s="71">
        <v>0</v>
      </c>
      <c r="G20" s="271"/>
      <c r="H20" s="271"/>
      <c r="I20" s="271"/>
      <c r="J20" s="272" t="str">
        <f>CHOOSE((F20+1),"Sphere","Short Cylinder","Med Cylinder","Long Cylinder","Short Rnd Cylinder","Med Rnd Cylinder","Long Rnd Cylinder","Cube","Medium Box","Long Box","Slab","Monolith","Short Cone","Med Cone","Long Cone","Needle","Thin Disc","Med Disc","Thick Disc","Dome","Wedge","Open Frame","Close Structure")</f>
        <v>Sphere</v>
      </c>
      <c r="K20" s="70"/>
      <c r="L20" s="70"/>
      <c r="M20" s="70"/>
      <c r="N20" s="70"/>
      <c r="O20" s="79"/>
      <c r="P20" s="83"/>
      <c r="Q20" s="56"/>
    </row>
    <row r="21" spans="1:17" ht="12.75">
      <c r="A21" s="54"/>
      <c r="B21" s="47"/>
      <c r="C21" s="257" t="s">
        <v>918</v>
      </c>
      <c r="D21" s="271"/>
      <c r="E21" s="271"/>
      <c r="F21" s="71">
        <v>0</v>
      </c>
      <c r="G21" s="271"/>
      <c r="H21" s="271"/>
      <c r="I21" s="271"/>
      <c r="J21" s="272" t="str">
        <f>CHOOSE((F21+1),"Unstreamlined","Streamlined","Airframe")</f>
        <v>Unstreamlined</v>
      </c>
      <c r="K21" s="70"/>
      <c r="L21" s="70"/>
      <c r="M21" s="70"/>
      <c r="N21" s="70"/>
      <c r="O21" s="79"/>
      <c r="P21" s="83"/>
      <c r="Q21" s="56"/>
    </row>
    <row r="22" spans="1:17" ht="12.75">
      <c r="A22" s="54"/>
      <c r="B22" s="47"/>
      <c r="C22" s="257" t="s">
        <v>919</v>
      </c>
      <c r="D22" s="271"/>
      <c r="E22" s="271"/>
      <c r="F22" s="71">
        <v>0</v>
      </c>
      <c r="G22" s="271"/>
      <c r="H22" s="271"/>
      <c r="I22" s="271"/>
      <c r="J22" s="272" t="str">
        <f>IF(F21=0,"N/A",CHOOSE((F22+1),"Simple","Fast Subsonic","Transonic","Supersonic","Hypersonic"))</f>
        <v>N/A</v>
      </c>
      <c r="K22" s="68">
        <f>IF(D14=0,Tables!F29,MAX(0,Tables!F29-(K35+K38+K45+K139+K142+K145+K148+K151+K199)))</f>
        <v>0</v>
      </c>
      <c r="L22" s="70"/>
      <c r="M22" s="68">
        <f>IF(K18&gt;1000,483.6*Tables!F13*Tables!F21,M18*Tables!F21)</f>
        <v>0</v>
      </c>
      <c r="N22" s="70"/>
      <c r="O22" s="79"/>
      <c r="P22" s="83"/>
      <c r="Q22" s="56"/>
    </row>
    <row r="23" spans="1:17" ht="12.75">
      <c r="A23" s="54"/>
      <c r="B23" s="47"/>
      <c r="C23" s="257" t="s">
        <v>920</v>
      </c>
      <c r="D23" s="271"/>
      <c r="E23" s="271"/>
      <c r="F23" s="71">
        <v>29</v>
      </c>
      <c r="G23" s="271"/>
      <c r="H23" s="271"/>
      <c r="I23" s="271"/>
      <c r="J23" s="272" t="str">
        <f>CONCATENATE(ROUND(Tables!F23*100,2),"cm thick")</f>
        <v>1.45cm thick</v>
      </c>
      <c r="K23" s="68">
        <f>M18*Tables!F23*Tables!$F$24</f>
        <v>8.7754</v>
      </c>
      <c r="L23" s="68">
        <f>K23*Tables!F10</f>
        <v>131.631</v>
      </c>
      <c r="M23" s="70"/>
      <c r="N23" s="68">
        <f>0.001*K23*Tables!F12</f>
        <v>0</v>
      </c>
      <c r="O23" s="81">
        <f>MAX(CHOOSE(($F$24+1),0,(M18*0.005),(M18*0.025),(M18*0.125)),(Tables!$F$11*K23*Tables!F22*CHOOSE((F21+1),Tables!F14,Tables!F15,Tables!F16)*(5^$F$24)))</f>
        <v>0.1228556</v>
      </c>
      <c r="P23" s="83"/>
      <c r="Q23" s="56"/>
    </row>
    <row r="24" spans="1:17" ht="12.75">
      <c r="A24" s="54"/>
      <c r="B24" s="47"/>
      <c r="C24" s="257" t="s">
        <v>921</v>
      </c>
      <c r="D24" s="271"/>
      <c r="E24" s="271"/>
      <c r="F24" s="71">
        <v>0</v>
      </c>
      <c r="G24" s="271"/>
      <c r="H24" s="271"/>
      <c r="I24" s="271"/>
      <c r="J24" s="272">
        <f>IF(F24&gt;CHOOSE(($D$15+1),0,0,0,0,0,0,0,0,1,1,2,2,3,3,3,3,3,3,3,3,3,3),"TL Violation","")</f>
      </c>
      <c r="K24" s="70"/>
      <c r="L24" s="70"/>
      <c r="M24" s="70"/>
      <c r="N24" s="70"/>
      <c r="O24" s="79"/>
      <c r="P24" s="83"/>
      <c r="Q24" s="56"/>
    </row>
    <row r="25" spans="1:255" ht="12.75">
      <c r="A25" s="54"/>
      <c r="B25" s="47"/>
      <c r="C25" s="257" t="s">
        <v>922</v>
      </c>
      <c r="D25" s="271"/>
      <c r="E25" s="271"/>
      <c r="F25" s="71">
        <v>2</v>
      </c>
      <c r="G25" s="271"/>
      <c r="H25" s="271"/>
      <c r="I25" s="271"/>
      <c r="J25" s="272" t="str">
        <f>CHOOSE((F25+1),"None","Black Paint",IF($D$15&lt;10,"TL Violation","Chameleon"),IF($D$15&lt;11,"TL Violation","Military Black"),IF($D$15&lt;13,"TL Violation","Ultra Black"))</f>
        <v>Chameleon</v>
      </c>
      <c r="K25" s="70"/>
      <c r="L25" s="70"/>
      <c r="M25" s="70"/>
      <c r="N25" s="70"/>
      <c r="O25" s="81">
        <f>CHOOSE((F25+1),IF(D19&lt;10,0,-0.2*O23),IF(D19&lt;10,0.1*O23,-0.1*O23),0,M18*0.01,M18*0.1)</f>
        <v>0</v>
      </c>
      <c r="P25" s="85"/>
      <c r="Q25" s="62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</row>
    <row r="26" spans="1:17" ht="12.75">
      <c r="A26" s="54"/>
      <c r="B26" s="47"/>
      <c r="C26" s="257" t="s">
        <v>923</v>
      </c>
      <c r="D26" s="271"/>
      <c r="E26" s="271"/>
      <c r="F26" s="71">
        <v>1</v>
      </c>
      <c r="G26" s="271"/>
      <c r="H26" s="271"/>
      <c r="I26" s="271"/>
      <c r="J26" s="272" t="str">
        <f>CONCATENATE(ROUND(F26,0),"Gs max accel")</f>
        <v>1Gs max accel</v>
      </c>
      <c r="K26" s="68">
        <f>(Tables!F7*F26)/Tables!F9</f>
        <v>0.01165</v>
      </c>
      <c r="L26" s="68">
        <f>K26*Tables!F10</f>
        <v>0.17475000000000002</v>
      </c>
      <c r="M26" s="70"/>
      <c r="N26" s="68">
        <f>0.001*K26*Tables!F12</f>
        <v>0</v>
      </c>
      <c r="O26" s="81">
        <f>K26*Tables!F11</f>
        <v>0.0001631</v>
      </c>
      <c r="P26" s="83"/>
      <c r="Q26" s="56"/>
    </row>
    <row r="27" spans="1:17" ht="12.75">
      <c r="A27" s="54"/>
      <c r="B27" s="47"/>
      <c r="C27" s="257" t="s">
        <v>924</v>
      </c>
      <c r="D27" s="271"/>
      <c r="E27" s="271"/>
      <c r="F27" s="271"/>
      <c r="G27" s="271"/>
      <c r="H27" s="271"/>
      <c r="I27" s="271"/>
      <c r="J27" s="272" t="str">
        <f>IF(F18&gt;0,IF(F20=0,CONCATENATE(ROUND(Tables!F26,1),"m diameter"),CONCATENATE(ROUND(Tables!F26,1),"m x ",ROUND(Tables!F27,1),"m x ",ROUND(Tables!F28,1),"m"))," ")</f>
        <v>13.9m diameter</v>
      </c>
      <c r="K27" s="271"/>
      <c r="L27" s="271"/>
      <c r="M27" s="271"/>
      <c r="N27" s="271"/>
      <c r="O27" s="39"/>
      <c r="P27" s="83"/>
      <c r="Q27" s="56"/>
    </row>
    <row r="28" spans="1:17" ht="12.75">
      <c r="A28" s="54"/>
      <c r="B28" s="47"/>
      <c r="C28" s="254" t="s">
        <v>925</v>
      </c>
      <c r="D28" s="271"/>
      <c r="E28" s="271"/>
      <c r="F28" s="71">
        <v>0</v>
      </c>
      <c r="G28" s="271"/>
      <c r="H28" s="271"/>
      <c r="I28" s="271"/>
      <c r="J28" s="271"/>
      <c r="K28" s="68">
        <f>F28*14</f>
        <v>0</v>
      </c>
      <c r="L28" s="70"/>
      <c r="M28" s="68">
        <f>Tables!F31</f>
        <v>0</v>
      </c>
      <c r="N28" s="70"/>
      <c r="O28" s="81">
        <f>K28*0.000001</f>
        <v>0</v>
      </c>
      <c r="P28" s="83"/>
      <c r="Q28" s="56"/>
    </row>
    <row r="29" spans="1:17" ht="12.75">
      <c r="A29" s="54"/>
      <c r="B29" s="47"/>
      <c r="C29" s="257" t="s">
        <v>916</v>
      </c>
      <c r="D29" s="271"/>
      <c r="E29" s="271"/>
      <c r="F29" s="71">
        <v>1</v>
      </c>
      <c r="G29" s="271"/>
      <c r="H29" s="271"/>
      <c r="I29" s="271"/>
      <c r="J29" s="272" t="str">
        <f>CHOOSE((F29+1),"Icy","Metallic","Stony")</f>
        <v>Metallic</v>
      </c>
      <c r="K29" s="70"/>
      <c r="L29" s="70"/>
      <c r="M29" s="70"/>
      <c r="N29" s="70"/>
      <c r="O29" s="79"/>
      <c r="P29" s="83"/>
      <c r="Q29" s="56"/>
    </row>
    <row r="30" spans="1:17" ht="12.75">
      <c r="A30" s="54"/>
      <c r="B30" s="47"/>
      <c r="C30" s="257" t="s">
        <v>920</v>
      </c>
      <c r="D30" s="271"/>
      <c r="E30" s="271"/>
      <c r="F30" s="71">
        <v>29</v>
      </c>
      <c r="G30" s="271"/>
      <c r="H30" s="271"/>
      <c r="I30" s="271"/>
      <c r="J30" s="70"/>
      <c r="K30" s="68">
        <f>Tables!F37</f>
        <v>0</v>
      </c>
      <c r="L30" s="68">
        <f>K30*Tables!F34</f>
        <v>0</v>
      </c>
      <c r="M30" s="70"/>
      <c r="N30" s="70"/>
      <c r="O30" s="81">
        <f>K30*Tables!F35</f>
        <v>0</v>
      </c>
      <c r="P30" s="83"/>
      <c r="Q30" s="56"/>
    </row>
    <row r="31" spans="1:17" ht="12.75">
      <c r="A31" s="54"/>
      <c r="B31" s="47"/>
      <c r="C31" s="257" t="s">
        <v>923</v>
      </c>
      <c r="D31" s="271"/>
      <c r="E31" s="271"/>
      <c r="F31" s="271"/>
      <c r="G31" s="271"/>
      <c r="H31" s="271"/>
      <c r="I31" s="271"/>
      <c r="J31" s="272" t="str">
        <f>CONCATENATE(ROUND(Tables!F38,0),"Gs max accel")</f>
        <v>0Gs max accel</v>
      </c>
      <c r="K31" s="70"/>
      <c r="L31" s="70"/>
      <c r="M31" s="70"/>
      <c r="N31" s="70"/>
      <c r="O31" s="79"/>
      <c r="P31" s="83"/>
      <c r="Q31" s="56"/>
    </row>
    <row r="32" spans="1:17" ht="12.75">
      <c r="A32" s="54"/>
      <c r="B32" s="47"/>
      <c r="C32" s="257" t="s">
        <v>926</v>
      </c>
      <c r="D32" s="271"/>
      <c r="E32" s="271"/>
      <c r="F32" s="271"/>
      <c r="G32" s="271"/>
      <c r="H32" s="271"/>
      <c r="I32" s="271"/>
      <c r="J32" s="272" t="str">
        <f>IF(F28&gt;0,CONCATENATE(ROUND(Tables!F30,2),"m")," ")</f>
        <v> </v>
      </c>
      <c r="K32" s="70"/>
      <c r="L32" s="70"/>
      <c r="M32" s="70"/>
      <c r="N32" s="70"/>
      <c r="O32" s="63"/>
      <c r="P32" s="83"/>
      <c r="Q32" s="56"/>
    </row>
    <row r="33" spans="1:17" ht="12.75">
      <c r="A33" s="54"/>
      <c r="B33" s="131"/>
      <c r="C33" s="40" t="s">
        <v>191</v>
      </c>
      <c r="D33" s="35" t="s">
        <v>903</v>
      </c>
      <c r="E33" s="35" t="s">
        <v>904</v>
      </c>
      <c r="F33" s="35" t="s">
        <v>905</v>
      </c>
      <c r="G33" s="35" t="s">
        <v>906</v>
      </c>
      <c r="H33" s="35" t="s">
        <v>907</v>
      </c>
      <c r="I33" s="35" t="s">
        <v>908</v>
      </c>
      <c r="J33" s="35" t="s">
        <v>909</v>
      </c>
      <c r="K33" s="15" t="s">
        <v>910</v>
      </c>
      <c r="L33" s="15" t="s">
        <v>911</v>
      </c>
      <c r="M33" s="15" t="s">
        <v>912</v>
      </c>
      <c r="N33" s="15" t="s">
        <v>913</v>
      </c>
      <c r="O33" s="73" t="s">
        <v>914</v>
      </c>
      <c r="P33" s="136"/>
      <c r="Q33" s="56"/>
    </row>
    <row r="34" spans="1:17" ht="12.75">
      <c r="A34" s="54"/>
      <c r="B34" s="131"/>
      <c r="C34" s="254" t="s">
        <v>927</v>
      </c>
      <c r="D34" s="455">
        <v>12</v>
      </c>
      <c r="E34" s="71">
        <v>0</v>
      </c>
      <c r="F34" s="71">
        <v>0</v>
      </c>
      <c r="G34" s="71">
        <v>0</v>
      </c>
      <c r="H34" s="271"/>
      <c r="I34" s="271"/>
      <c r="J34" s="272">
        <f>IF(E34=0,"",CONCATENATE(IF(ISERR(K34),"TL Violation",CONCATENATE(CHOOSE((G34+1),"Solid ","Hybrid ","Liquid ","HD Liquid ","Hy Liquid ","LH Liquid ","NTR","Adv NTR ","GCNTR ","Fusion ","Ion ","NPulse ","Ramscoop ","AND "))),IF(D13=0,CONCATENATE(F34*E34,"G"),CONCATENATE(ROUND(Tables!L8,1),"G/",ROUND(Tables!M8,1),"G"))))</f>
      </c>
      <c r="K34" s="68">
        <f>IF(G34&lt;2,F35*3600*Tables!K8/Tables!K9,Tables!K8/Tables!K9)*E34</f>
        <v>0</v>
      </c>
      <c r="L34" s="68">
        <f>K34</f>
        <v>0</v>
      </c>
      <c r="M34" s="68">
        <f>(Tables!K8*0.0005+IF(G34=12,Tables!$F$4*0.25,0))*E34</f>
        <v>0</v>
      </c>
      <c r="N34" s="68">
        <f>IF(G34=10,Tables!K8,0)</f>
        <v>0</v>
      </c>
      <c r="O34" s="81">
        <f>K34*Tables!K11</f>
        <v>0</v>
      </c>
      <c r="P34" s="136"/>
      <c r="Q34" s="56"/>
    </row>
    <row r="35" spans="1:17" ht="12.75">
      <c r="A35" s="54"/>
      <c r="B35" s="131"/>
      <c r="C35" s="257" t="s">
        <v>928</v>
      </c>
      <c r="D35" s="267"/>
      <c r="E35" s="271"/>
      <c r="F35" s="71">
        <v>0</v>
      </c>
      <c r="G35" s="271"/>
      <c r="H35" s="271"/>
      <c r="I35" s="271"/>
      <c r="J35" s="272">
        <f>IF(E34=0,"",IF(G34&lt;2,CONCATENATE(F35," G-hours"),CONCATENATE(ROUND((LN(L259/(L259-L35))*(3600/(Tables!K10*(L35/K35))))/36000,1)," G-hours")))</f>
      </c>
      <c r="K35" s="68">
        <f>IF(G34&lt;2,0,F35*14)</f>
        <v>0</v>
      </c>
      <c r="L35" s="68">
        <f>CHOOSE((((G34+1)-1)+1),0,0,1,1.4,1,0.3,0.07,0.07,0.07,0.07,1.5,0.1,0.07)*K35</f>
        <v>0</v>
      </c>
      <c r="M35" s="70"/>
      <c r="N35" s="70"/>
      <c r="O35" s="79"/>
      <c r="P35" s="136"/>
      <c r="Q35" s="56"/>
    </row>
    <row r="36" spans="1:17" ht="12.75">
      <c r="A36" s="54"/>
      <c r="B36" s="131"/>
      <c r="C36" s="257" t="s">
        <v>929</v>
      </c>
      <c r="D36" s="455">
        <v>12</v>
      </c>
      <c r="E36" s="71">
        <v>0</v>
      </c>
      <c r="F36" s="71">
        <v>0</v>
      </c>
      <c r="G36" s="71">
        <v>0</v>
      </c>
      <c r="H36" s="71">
        <v>0</v>
      </c>
      <c r="I36" s="271"/>
      <c r="J36" s="272">
        <f>IF(E36=0,"",CONCATENATE(IF(ISERR(K36),"TL Violation",CONCATENATE(CHOOSE((G36+1),"Solid ","Hybrid ","Liquid ","HD Liquid ","Hy Liquid ","LH Liquid ","NTR","Adv NTR ","GCNTR ","Fusion ","Ion ","NPulse ","Ramscoop ","AND "))),IF(D13=0,CONCATENATE(F36*E36,"G"),CONCATENATE(ROUND(Tables!L12,1),"G/",ROUND(Tables!M12,1),"G"))))</f>
      </c>
      <c r="K36" s="68">
        <f>IF(G36&lt;3,H36*3600*Tables!K12/Tables!K13,Tables!K12/Tables!K13)*E36</f>
        <v>0</v>
      </c>
      <c r="L36" s="68">
        <f>K36</f>
        <v>0</v>
      </c>
      <c r="M36" s="68">
        <f>(Tables!K12*0.0005+IF(G36=12,Tables!$F$4*0.25,0))*E36</f>
        <v>0</v>
      </c>
      <c r="N36" s="70"/>
      <c r="O36" s="81">
        <f>K36*Tables!K15</f>
        <v>0</v>
      </c>
      <c r="P36" s="136"/>
      <c r="Q36" s="56"/>
    </row>
    <row r="37" spans="1:17" ht="12.75">
      <c r="A37" s="54"/>
      <c r="B37" s="47"/>
      <c r="C37" s="254" t="s">
        <v>930</v>
      </c>
      <c r="D37" s="267"/>
      <c r="E37" s="71">
        <v>0</v>
      </c>
      <c r="F37" s="71">
        <v>0</v>
      </c>
      <c r="G37" s="271"/>
      <c r="H37" s="271"/>
      <c r="I37" s="271"/>
      <c r="J37" s="272" t="str">
        <f>IF(E37=0," ",IF($D$15&lt;10,"TL Violation",IF($D$13=0,CONCATENATE(ROUND(F37*E37,0),"G"),CONCATENATE(ROUND(Tables!L16,1),"G / ",ROUND(Tables!M16,1),"G"))))</f>
        <v> </v>
      </c>
      <c r="K37" s="68">
        <f>(Tables!K16/2000)*E37</f>
        <v>0</v>
      </c>
      <c r="L37" s="68">
        <f>K37</f>
        <v>0</v>
      </c>
      <c r="M37" s="68">
        <f>E37*0.0005*Tables!K16</f>
        <v>0</v>
      </c>
      <c r="N37" s="68">
        <f>E37*Tables!K16*0.005</f>
        <v>0</v>
      </c>
      <c r="O37" s="81">
        <f>K37*0.01</f>
        <v>0</v>
      </c>
      <c r="P37" s="83"/>
      <c r="Q37" s="56"/>
    </row>
    <row r="38" spans="1:17" ht="12.75">
      <c r="A38" s="54"/>
      <c r="B38" s="47"/>
      <c r="C38" s="257" t="s">
        <v>931</v>
      </c>
      <c r="D38" s="267"/>
      <c r="E38" s="271"/>
      <c r="F38" s="71">
        <v>0</v>
      </c>
      <c r="G38" s="271"/>
      <c r="H38" s="271"/>
      <c r="I38" s="271"/>
      <c r="J38" s="272">
        <f>IF(E37=0,"",CONCATENATE(ROUND((LN(L259/(L259-L38))*(3600/(0.00125*0.07)))/36000,1)," G-hours"))</f>
      </c>
      <c r="K38" s="68">
        <f>F38*14</f>
        <v>0</v>
      </c>
      <c r="L38" s="68">
        <f>K38*0.07</f>
        <v>0</v>
      </c>
      <c r="M38" s="70"/>
      <c r="N38" s="70"/>
      <c r="O38" s="79"/>
      <c r="P38" s="83"/>
      <c r="Q38" s="56"/>
    </row>
    <row r="39" spans="1:17" ht="12.75">
      <c r="A39" s="54"/>
      <c r="B39" s="47"/>
      <c r="C39" s="257" t="s">
        <v>932</v>
      </c>
      <c r="D39" s="267"/>
      <c r="E39" s="71">
        <v>0</v>
      </c>
      <c r="F39" s="71">
        <v>0</v>
      </c>
      <c r="G39" s="271"/>
      <c r="H39" s="271"/>
      <c r="I39" s="271"/>
      <c r="J39" s="272" t="str">
        <f>IF(E39=0," ",IF($D$15&lt;10,"TL Violation",IF($D$13=0,CONCATENATE(ROUND(F39*E39,0),"G"),CONCATENATE(ROUND(Tables!L17/E39,1),"G / ",ROUND(Tables!M17/E39,1),"G"))))</f>
        <v> </v>
      </c>
      <c r="K39" s="68">
        <f>E39*Tables!K17/2000</f>
        <v>0</v>
      </c>
      <c r="L39" s="68">
        <f>K39</f>
        <v>0</v>
      </c>
      <c r="M39" s="68">
        <f>0.0005*E39*Tables!K17</f>
        <v>0</v>
      </c>
      <c r="N39" s="70"/>
      <c r="O39" s="81">
        <f>K39*0.01</f>
        <v>0</v>
      </c>
      <c r="P39" s="83"/>
      <c r="Q39" s="56"/>
    </row>
    <row r="40" spans="1:17" ht="12.75">
      <c r="A40" s="54"/>
      <c r="B40" s="47"/>
      <c r="C40" s="254" t="s">
        <v>933</v>
      </c>
      <c r="D40" s="267"/>
      <c r="E40" s="71">
        <v>1</v>
      </c>
      <c r="F40" s="71">
        <v>1</v>
      </c>
      <c r="G40" s="271"/>
      <c r="H40" s="271"/>
      <c r="I40" s="271"/>
      <c r="J40" s="272" t="str">
        <f>IF(E40=0," ",IF($D$15&lt;11,"TL Violation",IF($D$13=0,CONCATENATE(ROUND(F40*E40,0),"G"),CONCATENATE(ROUND(Tables!L18,1),"G / ",ROUND(Tables!M18,1),"G"))))</f>
        <v>3.1G / 3.2G</v>
      </c>
      <c r="K40" s="68">
        <f>IF(E40=0,0,IF(D15&lt;11,A40,E40*Tables!K18/400))</f>
        <v>35</v>
      </c>
      <c r="L40" s="68">
        <f>K40*2</f>
        <v>70</v>
      </c>
      <c r="M40" s="68">
        <f>IF(E40=0,0,IF(D15&lt;11,A40,E40*0.0001*Tables!K18))</f>
        <v>1.4000000000000001</v>
      </c>
      <c r="N40" s="68">
        <f>IF(E40=0,0,IF($D$15&lt;11,#VALUE!,0.0025*E40*Tables!K18))</f>
        <v>35</v>
      </c>
      <c r="O40" s="81">
        <f>K40*0.25</f>
        <v>8.75</v>
      </c>
      <c r="P40" s="83"/>
      <c r="Q40" s="56"/>
    </row>
    <row r="41" spans="1:17" ht="12.75">
      <c r="A41" s="54"/>
      <c r="B41" s="47"/>
      <c r="C41" s="257" t="s">
        <v>934</v>
      </c>
      <c r="D41" s="267"/>
      <c r="E41" s="71">
        <v>0</v>
      </c>
      <c r="F41" s="71">
        <v>0</v>
      </c>
      <c r="G41" s="271"/>
      <c r="H41" s="271"/>
      <c r="I41" s="271"/>
      <c r="J41" s="272" t="str">
        <f>IF(E41=0," ",IF($D$15&lt;11,"TL Violation",IF($D$13=0,CONCATENATE(ROUND(F41*E41,0),"G"),CONCATENATE(ROUND(Tables!L19/E41,1),"G / ",ROUND(Tables!M19/E41,1),"G"))))</f>
        <v> </v>
      </c>
      <c r="K41" s="68">
        <f>IF(E41=0,0,IF($D$15&lt;11,A41,E41*Tables!K19/400))</f>
        <v>0</v>
      </c>
      <c r="L41" s="68">
        <f>K41*2</f>
        <v>0</v>
      </c>
      <c r="M41" s="68">
        <f>IF(E41=0,0,IF(D15&lt;11,A41,E41*0.0001*Tables!K19))</f>
        <v>0</v>
      </c>
      <c r="N41" s="70"/>
      <c r="O41" s="81">
        <f>K41*0.25</f>
        <v>0</v>
      </c>
      <c r="P41" s="83"/>
      <c r="Q41" s="56"/>
    </row>
    <row r="42" spans="1:17" ht="12.75">
      <c r="A42" s="54"/>
      <c r="B42" s="47"/>
      <c r="C42" s="254" t="s">
        <v>935</v>
      </c>
      <c r="D42" s="455">
        <v>12</v>
      </c>
      <c r="E42" s="71">
        <v>1</v>
      </c>
      <c r="F42" s="71">
        <v>1</v>
      </c>
      <c r="G42" s="271"/>
      <c r="H42" s="271"/>
      <c r="I42" s="271"/>
      <c r="J42" s="272" t="str">
        <f>IF(E42=0," ",IF(D42&lt;9,"TL Violation",IF($D$13=0,CONCATENATE(ROUND(F42*F42,0),"G"),CONCATENATE(ROUND(Tables!L20,1),"G / ",ROUND(Tables!M20,1),"G"))))</f>
        <v>3.1G / 3.2G</v>
      </c>
      <c r="K42" s="68">
        <f>IF(E42=0,0,IF(D42&lt;9,#VALUE!,E42*CHOOSE((D42+1),0,0,0,0,0,0,0,0,0,0.003,0.002,0.002,0.002,0.002,0.002,0.002,0.002,0.002,0.002,0.002,0.002,0.002)*Tables!K20))</f>
        <v>28</v>
      </c>
      <c r="L42" s="68">
        <f>IF(E42=0,0,IF(D42&lt;9,Infinity,E42*Tables!K20*CHOOSE((((D42+1)-1)+1),0,0,0,0,0,0,0,0,0,0.0038,0.002,0.002,0.0013,0.0013,0.0013,0.0013,0.0013,0.0013,0.0013,0.0013,0.0013,0.0013,0.0013)))</f>
        <v>18.2</v>
      </c>
      <c r="M42" s="68">
        <f>IF(E42=0,0,IF(D42&lt;9,#VALUE!,E42*Tables!K20*CHOOSE((D42+1),0,0,0,0,0,0,0,0,0,0.0018,0.002,0.002,0.002,0.002,0.002,0.002,0.002,0.002,0.002,0.002,0.002,0.002,0.002)))</f>
        <v>28</v>
      </c>
      <c r="N42" s="68">
        <f>IF(E42=0,0,IF(D42&lt;9,#VALUE!,E42*Tables!K20*CHOOSE((D42+1),0,0,0,0,0,0,0,0,0,0.0018,0.0014,0.0014,0.0017,0.0017,0.0017,0.0017,0.0017,0.0017,0.0017,0.0017,0.0017,0.0017)))</f>
        <v>23.799999999999997</v>
      </c>
      <c r="O42" s="81">
        <f>IF(E42=0,0,IF(D42&lt;9,#VALUE!,E42*Tables!K20*CHOOSE((D42+1),0,0,0,0,0,0,0,0,0,0.000012,0.000016,0.000016,0.00002,0.00002,0.00002,0.00002,0.00002,0.00002,0.00002,0.00002,0.00002,0.00002)))</f>
        <v>0.28</v>
      </c>
      <c r="P42" s="83"/>
      <c r="Q42" s="56"/>
    </row>
    <row r="43" spans="1:17" ht="12.75">
      <c r="A43" s="54"/>
      <c r="B43" s="47"/>
      <c r="C43" s="257" t="s">
        <v>936</v>
      </c>
      <c r="D43" s="455">
        <v>12</v>
      </c>
      <c r="E43" s="71">
        <v>0</v>
      </c>
      <c r="F43" s="71">
        <v>0</v>
      </c>
      <c r="G43" s="271"/>
      <c r="H43" s="271"/>
      <c r="I43" s="271"/>
      <c r="J43" s="272" t="str">
        <f>IF(E43=0," ",IF(D43&lt;9,"TL Violation",IF($D$13=0,CONCATENATE(ROUND(F43*E43,0),"G"),CONCATENATE(ROUND(Tables!L21,1),"G / ",ROUND(Tables!M21,1),"G"))))</f>
        <v> </v>
      </c>
      <c r="K43" s="68">
        <f>IF(E43=0,0,IF(D43&lt;9,#VALUE!,E43*CHOOSE((D43+1),0,0,0,0,0,0,0,0,0,0.003,0.002,0.002,0.002,0.002,0.002,0.002,0.002,0.002,0.002,0.002,0.002,0.002)*Tables!K21))</f>
        <v>0</v>
      </c>
      <c r="L43" s="68">
        <f>IF(E43=0,0,IF(D43&lt;9,Infinity,E43*Tables!K21*CHOOSE((((D43+1)-1)+1),0,0,0,0,0,0,0,0,0,0.0038,0.002,0.002,0.0013,0.0013,0.0013,0.0013,0.0013,0.0013,0.0013,0.0013,0.0013,0.0013,0.0013)))</f>
        <v>0</v>
      </c>
      <c r="M43" s="68">
        <f>IF(E43=0,0,IF(D43&lt;9,#VALUE!,E43*Tables!K21*CHOOSE((D43+1),0,0,0,0,0,0,0,0,0,0.0018,0.002,0.002,0.002,0.002,0.002,0.002,0.002,0.002,0.002,0.002,0.002,0.002,0.002)))</f>
        <v>0</v>
      </c>
      <c r="N43" s="70"/>
      <c r="O43" s="81">
        <f>IF(E43=0,0,IF(D43&lt;9,#VALUE!,E43*Tables!K21*CHOOSE((D43+1),0,0,0,0,0,0,0,0,0,0.000012,0.000016,0.000016,0.00002,0.00002,0.00002,0.00002,0.00002,0.00002,0.00002,0.00002,0.00002,0.00002)))</f>
        <v>0</v>
      </c>
      <c r="P43" s="83"/>
      <c r="Q43" s="56"/>
    </row>
    <row r="44" spans="1:17" ht="12.75">
      <c r="A44" s="54"/>
      <c r="B44" s="47"/>
      <c r="C44" s="254" t="s">
        <v>937</v>
      </c>
      <c r="D44" s="455">
        <v>12</v>
      </c>
      <c r="E44" s="71">
        <v>1</v>
      </c>
      <c r="F44" s="71">
        <v>1</v>
      </c>
      <c r="G44" s="271"/>
      <c r="H44" s="271"/>
      <c r="I44" s="271"/>
      <c r="J44" s="272" t="str">
        <f>IF(E44=0," ",IF(F44=0," ",IF(F44&gt;CHOOSE((D44+1),0,0,0,0,0,0,0,0,0,1,1,2,3,4,5,6,6,6,6,6,6,6),"TL Violation",CONCATENATE("Jump-",ROUND(F44,0)))))</f>
        <v>Jump-1</v>
      </c>
      <c r="K44" s="68">
        <f>IF(E44=0,0,IF(F44=0,0,IF(F44&gt;CHOOSE((D44+1),0,0,0,0,0,0,0,0,0,1,1,2,3,4,5,6,6,6,6,6,6,6),#VALUE!,0.01*(F44+1)*Tables!$F$3*E44)))</f>
        <v>28</v>
      </c>
      <c r="L44" s="68">
        <f>IF(E44=0,0,IF(F44=0,0,IF(F44&gt;CHOOSE((((D44+1)-1)+1),0,0,0,0,0,0,0,0,0,1,1,2,3,4,5,6,6,6,6,6,6,6),#VALUE!,(CHOOSE(((D44-9)+1),3,3,3,3,3,2.5,2,2,2,2,2,2,2,2)*K44))))</f>
        <v>84</v>
      </c>
      <c r="M44" s="68">
        <f>IF(E44=0,0,IF(F44=0,0,IF(F44&gt;CHOOSE((D44+1),0,0,0,0,0,0,0,0,0,1,1,2,3,4,5,6,6,6,6,6,6,6),#VALUE!,Tables!$F$4*0.005*(2+F44))))</f>
        <v>9.078000000000001</v>
      </c>
      <c r="N44" s="70"/>
      <c r="O44" s="81">
        <f>0.3*K44</f>
        <v>8.4</v>
      </c>
      <c r="P44" s="83"/>
      <c r="Q44" s="56"/>
    </row>
    <row r="45" spans="1:17" ht="12.75">
      <c r="A45" s="54"/>
      <c r="B45" s="47"/>
      <c r="C45" s="257" t="s">
        <v>938</v>
      </c>
      <c r="D45" s="267"/>
      <c r="E45" s="271"/>
      <c r="F45" s="71">
        <v>1</v>
      </c>
      <c r="G45" s="271"/>
      <c r="H45" s="271"/>
      <c r="I45" s="271"/>
      <c r="J45" s="272" t="str">
        <f>IF(F45=0," ",IF(F45=1,"1 parsec range",CONCATENATE(ROUND(F45,0)," parsecs range")))</f>
        <v>1 parsec range</v>
      </c>
      <c r="K45" s="68">
        <f>F45*0.1*Tables!$F$3</f>
        <v>140</v>
      </c>
      <c r="L45" s="68">
        <f>K45*0.07</f>
        <v>9.8</v>
      </c>
      <c r="M45" s="70"/>
      <c r="N45" s="70"/>
      <c r="O45" s="79"/>
      <c r="P45" s="83"/>
      <c r="Q45" s="56"/>
    </row>
    <row r="46" spans="1:17" ht="12.75">
      <c r="A46" s="54"/>
      <c r="B46" s="47"/>
      <c r="C46" s="257" t="s">
        <v>939</v>
      </c>
      <c r="D46" s="455">
        <v>12</v>
      </c>
      <c r="E46" s="71">
        <v>0</v>
      </c>
      <c r="F46" s="71">
        <v>0</v>
      </c>
      <c r="G46" s="271"/>
      <c r="H46" s="271"/>
      <c r="I46" s="271"/>
      <c r="J46" s="272" t="str">
        <f>IF(E46=0," ",IF(F46=0," ",IF(F46&gt;CHOOSE((D46+1),0,0,0,0,0,0,0,0,0,1,1,2,3,4,5,6,6,6,6,6,6,6),"TL Violation",CONCATENATE("Jump-",ROUND(F46,0)))))</f>
        <v> </v>
      </c>
      <c r="K46" s="68">
        <f>IF(E46=0,0,IF(F46=0,0,IF(F46&gt;CHOOSE((D46+1),0,0,0,0,0,0,0,0,0,1,1,2,3,4,5,6,6,6,6,6,6,6),#VALUE!,0.01*(F46+1)*Tables!$F$3*E46)))</f>
        <v>0</v>
      </c>
      <c r="L46" s="68">
        <f>IF(E46=0,0,IF(F46=0,0,IF(F46&gt;CHOOSE((((D46+1)-1)+1),0,0,0,0,0,0,0,0,0,1,1,2,3,4,5,6,6,6,6,6,6,6),Infinity,CHOOSE((((D46-9+1)-1)+1),3,3,3,3,3,2.5,2)*K46)))</f>
        <v>0</v>
      </c>
      <c r="M46" s="68">
        <f>IF(E46=0,0,IF(F46=0,0,IF(F46&gt;CHOOSE((D46+1),0,0,0,0,0,0,0,0,0,1,1,2,3,4,5,6,6,6,6,6,6,6),#VALUE!,Tables!$F$4*0.005*(2+F46))))</f>
        <v>0</v>
      </c>
      <c r="N46" s="70"/>
      <c r="O46" s="81">
        <f>0.3*K46</f>
        <v>0</v>
      </c>
      <c r="P46" s="83"/>
      <c r="Q46" s="56"/>
    </row>
    <row r="47" spans="1:17" ht="12.75">
      <c r="A47" s="54"/>
      <c r="B47" s="47"/>
      <c r="C47" s="80" t="s">
        <v>814</v>
      </c>
      <c r="D47" s="455">
        <v>12</v>
      </c>
      <c r="E47" s="71">
        <v>0</v>
      </c>
      <c r="F47" s="71">
        <v>0</v>
      </c>
      <c r="G47" s="71">
        <v>0</v>
      </c>
      <c r="H47" s="271"/>
      <c r="I47" s="271"/>
      <c r="J47" s="272">
        <f>IF(E47=0,"",CONCATENATE(ROUND((F47*0.0005)/Tables!K5,6),"G / ",ROUND((F47*0.0005)/Tables!$K$6,6),"G"))</f>
      </c>
      <c r="K47" s="68">
        <f>IF(G47=0,0,F47*10)*E47</f>
        <v>0</v>
      </c>
      <c r="L47" s="68">
        <f>CHOOSE((((D47+1)-1)+1),0,0,0,0,0,0,0,0,0.5,0.4,0.3,0.3,0.2,0.2,0.1,0.1,0.05,0.05,0.05,0.05,0.05,0.05)*F47*E47</f>
        <v>0</v>
      </c>
      <c r="M47" s="70"/>
      <c r="N47" s="70"/>
      <c r="O47" s="81">
        <f>CHOOSE((D47+1),0,0,0,0,0,0,0,0,0.001,0.0005,0.0004,0.0004,0.0003,0.0003,0.0002,0.0002,0.0001,0.0001,0.0001,0.0001,0.0001,0.0001)*F47*E47</f>
        <v>0</v>
      </c>
      <c r="P47" s="83"/>
      <c r="Q47" s="56"/>
    </row>
    <row r="48" spans="1:17" ht="12.75">
      <c r="A48" s="54"/>
      <c r="B48" s="47"/>
      <c r="C48" s="282" t="s">
        <v>940</v>
      </c>
      <c r="D48" s="267"/>
      <c r="E48" s="271"/>
      <c r="F48" s="71">
        <v>0</v>
      </c>
      <c r="G48" s="271"/>
      <c r="H48" s="271"/>
      <c r="I48" s="271"/>
      <c r="J48" s="272" t="str">
        <f>IF(F48=0,"None",CONCATENATE(ROUND(Tables!G42*100,2),"cm thick"))</f>
        <v>None</v>
      </c>
      <c r="K48" s="68">
        <f>Tables!F42*Tables!G42*Tables!F24</f>
        <v>0</v>
      </c>
      <c r="L48" s="68">
        <f>K48*Tables!$F$10</f>
        <v>0</v>
      </c>
      <c r="M48" s="70"/>
      <c r="N48" s="68">
        <f>0.001*K48*Tables!$F$12</f>
        <v>0</v>
      </c>
      <c r="O48" s="81">
        <f>Tables!$F$11*K48</f>
        <v>0</v>
      </c>
      <c r="P48" s="83"/>
      <c r="Q48" s="56"/>
    </row>
    <row r="49" spans="1:17" ht="12.75">
      <c r="A49" s="54"/>
      <c r="B49" s="131"/>
      <c r="C49" s="40" t="s">
        <v>215</v>
      </c>
      <c r="D49" s="35" t="s">
        <v>903</v>
      </c>
      <c r="E49" s="35" t="s">
        <v>904</v>
      </c>
      <c r="F49" s="35" t="s">
        <v>905</v>
      </c>
      <c r="G49" s="35" t="s">
        <v>906</v>
      </c>
      <c r="H49" s="35" t="s">
        <v>907</v>
      </c>
      <c r="I49" s="35" t="s">
        <v>908</v>
      </c>
      <c r="J49" s="35" t="s">
        <v>909</v>
      </c>
      <c r="K49" s="15" t="s">
        <v>910</v>
      </c>
      <c r="L49" s="15" t="s">
        <v>911</v>
      </c>
      <c r="M49" s="15" t="s">
        <v>912</v>
      </c>
      <c r="N49" s="15" t="s">
        <v>913</v>
      </c>
      <c r="O49" s="73" t="s">
        <v>914</v>
      </c>
      <c r="P49" s="136"/>
      <c r="Q49" s="56"/>
    </row>
    <row r="50" spans="1:17" ht="12.75">
      <c r="A50" s="54"/>
      <c r="B50" s="131"/>
      <c r="C50" s="254" t="s">
        <v>941</v>
      </c>
      <c r="D50" s="271"/>
      <c r="E50" s="71">
        <v>0</v>
      </c>
      <c r="F50" s="71">
        <v>0</v>
      </c>
      <c r="G50" s="71">
        <v>0</v>
      </c>
      <c r="H50" s="71">
        <v>0</v>
      </c>
      <c r="I50" s="71"/>
      <c r="J50" s="272" t="str">
        <f>IF(E50=0," ",CHOOSE((H50+1),CONCATENATE(ROUND(F50,1),"m3"),"42m3","84m3"))</f>
        <v> </v>
      </c>
      <c r="K50" s="68">
        <f>CHOOSE((H50+1),F50,42,84)*E50*Tables!$F$24</f>
        <v>0</v>
      </c>
      <c r="L50" s="68">
        <f>K50^(5/3)*0.005</f>
        <v>0</v>
      </c>
      <c r="M50" s="68">
        <f>CHOOSE((H50+1),G50,10,16)*E50*Tables!$F$25</f>
        <v>0</v>
      </c>
      <c r="N50" s="68">
        <f>K50*0.01</f>
        <v>0</v>
      </c>
      <c r="O50" s="79"/>
      <c r="P50" s="136"/>
      <c r="Q50" s="56"/>
    </row>
    <row r="51" spans="1:17" ht="12.75">
      <c r="A51" s="54"/>
      <c r="B51" s="131"/>
      <c r="C51" s="254" t="s">
        <v>941</v>
      </c>
      <c r="D51" s="271"/>
      <c r="E51" s="71">
        <v>0</v>
      </c>
      <c r="F51" s="71">
        <v>0</v>
      </c>
      <c r="G51" s="71">
        <v>0</v>
      </c>
      <c r="H51" s="71">
        <v>0</v>
      </c>
      <c r="I51" s="71"/>
      <c r="J51" s="272" t="str">
        <f>IF(E51=0," ",CHOOSE((H51+1),CONCATENATE(ROUND(F51,1),"m3"),"42m3","84m3"))</f>
        <v> </v>
      </c>
      <c r="K51" s="68">
        <f>CHOOSE((H51+1),F51,42,84)*E51*Tables!$F$24</f>
        <v>0</v>
      </c>
      <c r="L51" s="68">
        <f>K51^(5/3)*0.005</f>
        <v>0</v>
      </c>
      <c r="M51" s="68">
        <f>CHOOSE((H51+1),G51,10,16)*E51*Tables!$F$25</f>
        <v>0</v>
      </c>
      <c r="N51" s="68">
        <f>K51*0.01</f>
        <v>0</v>
      </c>
      <c r="O51" s="79"/>
      <c r="P51" s="136"/>
      <c r="Q51" s="56"/>
    </row>
    <row r="52" spans="1:17" ht="12.75">
      <c r="A52" s="54"/>
      <c r="B52" s="131"/>
      <c r="C52" s="254" t="s">
        <v>942</v>
      </c>
      <c r="D52" s="271"/>
      <c r="E52" s="71">
        <v>0</v>
      </c>
      <c r="F52" s="71">
        <v>0</v>
      </c>
      <c r="G52" s="71">
        <v>0</v>
      </c>
      <c r="H52" s="71">
        <v>0</v>
      </c>
      <c r="I52" s="71"/>
      <c r="J52" s="272" t="str">
        <f>IF(E52=0," ",CHOOSE((H52+1),CONCATENATE(ROUND(F52,1),"m3"),"700m3","1400m3"))</f>
        <v> </v>
      </c>
      <c r="K52" s="68">
        <f>CHOOSE((H52+1),F52,700,1400)*E52*Tables!$F$24</f>
        <v>0</v>
      </c>
      <c r="L52" s="68">
        <f>K52^(5/3)*0.001</f>
        <v>0</v>
      </c>
      <c r="M52" s="68">
        <f>CHOOSE((H52+1),G52,90,150)*E52*Tables!$F$25</f>
        <v>0</v>
      </c>
      <c r="N52" s="68">
        <f>0.005*K52</f>
        <v>0</v>
      </c>
      <c r="O52" s="79"/>
      <c r="P52" s="136"/>
      <c r="Q52" s="56"/>
    </row>
    <row r="53" spans="1:17" ht="12.75">
      <c r="A53" s="54"/>
      <c r="B53" s="131"/>
      <c r="C53" s="254" t="s">
        <v>942</v>
      </c>
      <c r="D53" s="271"/>
      <c r="E53" s="71">
        <v>0</v>
      </c>
      <c r="F53" s="71">
        <v>0</v>
      </c>
      <c r="G53" s="71">
        <v>0</v>
      </c>
      <c r="H53" s="71">
        <v>0</v>
      </c>
      <c r="I53" s="71"/>
      <c r="J53" s="272" t="str">
        <f>IF(E53=0," ",CHOOSE((H53+1),CONCATENATE(ROUND(F53,1),"m3"),"700m3","1400m3"))</f>
        <v> </v>
      </c>
      <c r="K53" s="68">
        <f>CHOOSE((H53+1),F53,700,1400)*E53*Tables!$F$24</f>
        <v>0</v>
      </c>
      <c r="L53" s="68">
        <f>K53^(5/3)*0.001</f>
        <v>0</v>
      </c>
      <c r="M53" s="68">
        <f>CHOOSE((H53+1),G53,90,150)*E53*Tables!$F$25</f>
        <v>0</v>
      </c>
      <c r="N53" s="68">
        <f>0.005*K53</f>
        <v>0</v>
      </c>
      <c r="O53" s="79"/>
      <c r="P53" s="136"/>
      <c r="Q53" s="56"/>
    </row>
    <row r="54" spans="1:17" ht="12.75">
      <c r="A54" s="54"/>
      <c r="B54" s="47"/>
      <c r="C54" s="254" t="s">
        <v>943</v>
      </c>
      <c r="D54" s="272">
        <f>Las1!D$7</f>
        <v>12</v>
      </c>
      <c r="E54" s="71">
        <v>0</v>
      </c>
      <c r="F54" s="271"/>
      <c r="G54" s="271"/>
      <c r="H54" s="271"/>
      <c r="I54" s="271"/>
      <c r="J54" s="64" t="str">
        <f>IF(E54=0," ",Las1!D$49)</f>
        <v> </v>
      </c>
      <c r="K54" s="68">
        <f>IF(E54=0,0,E54*Las1!D$58*Tables!$F$24)</f>
        <v>0</v>
      </c>
      <c r="L54" s="68">
        <f>IF(E54=0,0,E54*Las1!D$59)</f>
        <v>0</v>
      </c>
      <c r="M54" s="68">
        <f>IF(E54=0,0,E54*Las1!D$60*Tables!$F$25)</f>
        <v>0</v>
      </c>
      <c r="N54" s="68">
        <f>IF(E54=0,0,E54*Las1!D$61)</f>
        <v>0</v>
      </c>
      <c r="O54" s="81">
        <f>IF(E54=0,0,E54*Las1!D$62)</f>
        <v>0</v>
      </c>
      <c r="P54" s="83"/>
      <c r="Q54" s="56"/>
    </row>
    <row r="55" spans="1:17" ht="12.75">
      <c r="A55" s="54"/>
      <c r="B55" s="47"/>
      <c r="C55" s="254" t="s">
        <v>944</v>
      </c>
      <c r="D55" s="272">
        <f>Las2!D$7</f>
        <v>12</v>
      </c>
      <c r="E55" s="71">
        <v>0</v>
      </c>
      <c r="F55" s="271"/>
      <c r="G55" s="271"/>
      <c r="H55" s="271"/>
      <c r="I55" s="271"/>
      <c r="J55" s="64" t="str">
        <f>IF(E55=0," ",Las2!D$49)</f>
        <v> </v>
      </c>
      <c r="K55" s="68">
        <f>IF(E55=0,0,E55*Las2!D$58*Tables!$F$24)</f>
        <v>0</v>
      </c>
      <c r="L55" s="68">
        <f>IF(E55=0,0,E55*Las2!D$59)</f>
        <v>0</v>
      </c>
      <c r="M55" s="68">
        <f>IF(E55=0,0,E55*Las2!D$60*Tables!$F$25)</f>
        <v>0</v>
      </c>
      <c r="N55" s="68">
        <f>IF(E55=0,0,E55*Las2!D$61)</f>
        <v>0</v>
      </c>
      <c r="O55" s="81">
        <f>IF(E55=0,0,E55*Las2!D$62)</f>
        <v>0</v>
      </c>
      <c r="P55" s="83"/>
      <c r="Q55" s="56"/>
    </row>
    <row r="56" spans="1:17" ht="12.75">
      <c r="A56" s="54"/>
      <c r="B56" s="47"/>
      <c r="C56" s="254" t="s">
        <v>945</v>
      </c>
      <c r="D56" s="272">
        <f>Las3!D$7</f>
        <v>12</v>
      </c>
      <c r="E56" s="71">
        <v>0</v>
      </c>
      <c r="F56" s="271"/>
      <c r="G56" s="271"/>
      <c r="H56" s="271"/>
      <c r="I56" s="271"/>
      <c r="J56" s="64" t="str">
        <f>IF(E56=0," ",Las3!D$49)</f>
        <v> </v>
      </c>
      <c r="K56" s="68">
        <f>IF(E56=0,0,E56*Las3!D$58*Tables!$F$24)</f>
        <v>0</v>
      </c>
      <c r="L56" s="68">
        <f>IF(E56=0,0,E56*Las3!D$59)</f>
        <v>0</v>
      </c>
      <c r="M56" s="68">
        <f>IF(E56=0,0,E56*Las3!D$60*Tables!$F$25)</f>
        <v>0</v>
      </c>
      <c r="N56" s="68">
        <f>IF(E56=0,0,E56*Las3!D$61)</f>
        <v>0</v>
      </c>
      <c r="O56" s="81">
        <f>IF(E56=0,0,E56*Las3!D$62)</f>
        <v>0</v>
      </c>
      <c r="P56" s="83"/>
      <c r="Q56" s="56"/>
    </row>
    <row r="57" spans="1:17" ht="12.75">
      <c r="A57" s="54"/>
      <c r="B57" s="47"/>
      <c r="C57" s="254" t="s">
        <v>946</v>
      </c>
      <c r="D57" s="272">
        <f>Las4!D$7</f>
        <v>12</v>
      </c>
      <c r="E57" s="71">
        <v>0</v>
      </c>
      <c r="F57" s="271"/>
      <c r="G57" s="271"/>
      <c r="H57" s="271"/>
      <c r="I57" s="271"/>
      <c r="J57" s="64" t="str">
        <f>IF(E57=0," ",Las4!D$49)</f>
        <v> </v>
      </c>
      <c r="K57" s="68">
        <f>IF(E57=0,0,E57*Las4!D$58*Tables!$F$24)</f>
        <v>0</v>
      </c>
      <c r="L57" s="68">
        <f>IF(E57=0,0,E57*Las4!D$59)</f>
        <v>0</v>
      </c>
      <c r="M57" s="68">
        <f>IF(E57=0,0,E57*Las4!D$60*Tables!$F$25)</f>
        <v>0</v>
      </c>
      <c r="N57" s="68">
        <f>IF(E57=0,0,E57*Las4!D$61)</f>
        <v>0</v>
      </c>
      <c r="O57" s="81">
        <f>IF(E57=0,0,E57*Las4!D$62)</f>
        <v>0</v>
      </c>
      <c r="P57" s="83"/>
      <c r="Q57" s="56"/>
    </row>
    <row r="58" spans="1:17" ht="12.75">
      <c r="A58" s="54"/>
      <c r="B58" s="47"/>
      <c r="C58" s="254" t="s">
        <v>947</v>
      </c>
      <c r="D58" s="272">
        <f>Mis1!D$7</f>
        <v>12</v>
      </c>
      <c r="E58" s="71">
        <v>0</v>
      </c>
      <c r="F58" s="271"/>
      <c r="G58" s="271"/>
      <c r="H58" s="271"/>
      <c r="I58" s="271"/>
      <c r="J58" s="64" t="str">
        <f>IF(E58=0," ",Mis1!D85)</f>
        <v> </v>
      </c>
      <c r="K58" s="68">
        <f>IF(E58=0,0,E58*Mis1!D$92)</f>
        <v>0</v>
      </c>
      <c r="L58" s="68">
        <f>IF(E58=0,0,E58*Mis1!D$93)</f>
        <v>0</v>
      </c>
      <c r="M58" s="68">
        <f>IF(E58=0,0,Mis1!D$94*E58)*Tables!$F$25</f>
        <v>0</v>
      </c>
      <c r="N58" s="68">
        <f>IF(E58=0,0,E58*Mis1!D$95)</f>
        <v>0</v>
      </c>
      <c r="O58" s="81">
        <f>IF(E58=0,0,E58*Mis1!D$96)</f>
        <v>0</v>
      </c>
      <c r="P58" s="83"/>
      <c r="Q58" s="56"/>
    </row>
    <row r="59" spans="1:17" ht="12.75">
      <c r="A59" s="54"/>
      <c r="B59" s="47"/>
      <c r="C59" s="254" t="s">
        <v>948</v>
      </c>
      <c r="D59" s="272">
        <f>Mis2!D$7</f>
        <v>12</v>
      </c>
      <c r="E59" s="71">
        <v>0</v>
      </c>
      <c r="F59" s="271"/>
      <c r="G59" s="271"/>
      <c r="H59" s="271"/>
      <c r="I59" s="271"/>
      <c r="J59" s="64" t="str">
        <f>IF(E59=0," ",Mis2!D85)</f>
        <v> </v>
      </c>
      <c r="K59" s="68">
        <f>IF(E59=0,0,E59*Mis2!D$92)</f>
        <v>0</v>
      </c>
      <c r="L59" s="68">
        <f>IF(E59=0,0,E59*Mis2!D$93)</f>
        <v>0</v>
      </c>
      <c r="M59" s="68">
        <f>IF(E59=0,0,Mis2!D$94*E59)*Tables!$F$25</f>
        <v>0</v>
      </c>
      <c r="N59" s="68">
        <f>IF(E59=0,0,E59*Mis2!D$95)</f>
        <v>0</v>
      </c>
      <c r="O59" s="81">
        <f>IF(E59=0,0,E59*Mis2!D$96)</f>
        <v>0</v>
      </c>
      <c r="P59" s="83"/>
      <c r="Q59" s="56"/>
    </row>
    <row r="60" spans="1:17" ht="12.75">
      <c r="A60" s="54"/>
      <c r="B60" s="47"/>
      <c r="C60" s="254" t="s">
        <v>949</v>
      </c>
      <c r="D60" s="272">
        <f>PA1!D$7</f>
        <v>12</v>
      </c>
      <c r="E60" s="71">
        <v>0</v>
      </c>
      <c r="F60" s="271"/>
      <c r="G60" s="271"/>
      <c r="H60" s="271"/>
      <c r="I60" s="271"/>
      <c r="J60" s="64" t="str">
        <f>IF(E60=0," ",PA1!D49)</f>
        <v> </v>
      </c>
      <c r="K60" s="68">
        <f>IF(E60=0,0,E60*PA1!D$58)</f>
        <v>0</v>
      </c>
      <c r="L60" s="68">
        <f>IF(E60=0,0,E60*PA1!D$59)</f>
        <v>0</v>
      </c>
      <c r="M60" s="68">
        <f>IF(E60=0,0,E60*PA1!D$60)*Tables!$F$25</f>
        <v>0</v>
      </c>
      <c r="N60" s="68">
        <f>IF(E60=0,0,E60*PA1!D$61)</f>
        <v>0</v>
      </c>
      <c r="O60" s="81">
        <f>IF(E60=0,0,E60*PA1!D$62)</f>
        <v>0</v>
      </c>
      <c r="P60" s="83"/>
      <c r="Q60" s="56"/>
    </row>
    <row r="61" spans="1:17" ht="12.75">
      <c r="A61" s="54"/>
      <c r="B61" s="47"/>
      <c r="C61" s="254" t="s">
        <v>950</v>
      </c>
      <c r="D61" s="272">
        <f>PA2!D$7</f>
        <v>12</v>
      </c>
      <c r="E61" s="71">
        <v>0</v>
      </c>
      <c r="F61" s="271"/>
      <c r="G61" s="271"/>
      <c r="H61" s="271"/>
      <c r="I61" s="271"/>
      <c r="J61" s="64" t="str">
        <f>IF(E61=0," ",PA2!D49)</f>
        <v> </v>
      </c>
      <c r="K61" s="68">
        <f>IF(E61=0,0,E61*PA2!D$58)</f>
        <v>0</v>
      </c>
      <c r="L61" s="68">
        <f>IF(E61=0,0,E61*PA2!D$59)</f>
        <v>0</v>
      </c>
      <c r="M61" s="68">
        <f>IF(E61=0,0,E61*PA1!D$60)*Tables!$F$25</f>
        <v>0</v>
      </c>
      <c r="N61" s="68">
        <f>IF(E61=0,0,E61*PA2!D$61)</f>
        <v>0</v>
      </c>
      <c r="O61" s="81">
        <f>IF(E61=0,0,E61*PA2!D$62)</f>
        <v>0</v>
      </c>
      <c r="P61" s="83"/>
      <c r="Q61" s="56"/>
    </row>
    <row r="62" spans="1:17" ht="12.75">
      <c r="A62" s="54"/>
      <c r="B62" s="47"/>
      <c r="C62" s="254" t="s">
        <v>951</v>
      </c>
      <c r="D62" s="272">
        <f>Mes1!D$7</f>
        <v>12</v>
      </c>
      <c r="E62" s="71">
        <v>0</v>
      </c>
      <c r="F62" s="271"/>
      <c r="G62" s="271"/>
      <c r="H62" s="271"/>
      <c r="I62" s="271"/>
      <c r="J62" s="64" t="str">
        <f>IF(E62=0," ",Mes1!D$45)</f>
        <v> </v>
      </c>
      <c r="K62" s="68">
        <f>IF(E62=0,0,E62*Mes1!D$54)</f>
        <v>0</v>
      </c>
      <c r="L62" s="68">
        <f>IF(E62=0,0,E62*Mes1!D$55)</f>
        <v>0</v>
      </c>
      <c r="M62" s="68">
        <f>IF(E62=0,0,E62*Mes1!D$56)*Tables!$F$25</f>
        <v>0</v>
      </c>
      <c r="N62" s="68">
        <f>IF(E62=0,0,E62*Mes1!D$57)</f>
        <v>0</v>
      </c>
      <c r="O62" s="81">
        <f>IF(E62=0,0,E62*Mes1!D$58)</f>
        <v>0</v>
      </c>
      <c r="P62" s="83"/>
      <c r="Q62" s="56"/>
    </row>
    <row r="63" spans="1:17" ht="12.75">
      <c r="A63" s="54"/>
      <c r="B63" s="47"/>
      <c r="C63" s="254" t="s">
        <v>952</v>
      </c>
      <c r="D63" s="272">
        <f>Mes2!D$7</f>
        <v>12</v>
      </c>
      <c r="E63" s="71">
        <v>0</v>
      </c>
      <c r="F63" s="271"/>
      <c r="G63" s="271"/>
      <c r="H63" s="271"/>
      <c r="I63" s="271"/>
      <c r="J63" s="64" t="str">
        <f>IF(E63=0," ",Mes2!D$45)</f>
        <v> </v>
      </c>
      <c r="K63" s="68">
        <f>IF(E63=0,0,E63*Mes2!D$54)</f>
        <v>0</v>
      </c>
      <c r="L63" s="68">
        <f>IF(E63=0,0,E63*Mes2!D$55)</f>
        <v>0</v>
      </c>
      <c r="M63" s="68">
        <f>IF(E63=0,0,E63*Mes2!D$56)*Tables!$F$25</f>
        <v>0</v>
      </c>
      <c r="N63" s="68">
        <f>IF(E63=0,0,E63*Mes2!D$57)</f>
        <v>0</v>
      </c>
      <c r="O63" s="81">
        <f>IF(E63=0,0,E63*Mes2!D$58)</f>
        <v>0</v>
      </c>
      <c r="P63" s="83"/>
      <c r="Q63" s="56"/>
    </row>
    <row r="64" spans="1:17" ht="12.75">
      <c r="A64" s="54"/>
      <c r="B64" s="131"/>
      <c r="C64" s="40" t="s">
        <v>221</v>
      </c>
      <c r="D64" s="35" t="s">
        <v>903</v>
      </c>
      <c r="E64" s="35" t="s">
        <v>904</v>
      </c>
      <c r="F64" s="35" t="s">
        <v>905</v>
      </c>
      <c r="G64" s="35" t="s">
        <v>906</v>
      </c>
      <c r="H64" s="35" t="s">
        <v>907</v>
      </c>
      <c r="I64" s="35" t="s">
        <v>908</v>
      </c>
      <c r="J64" s="35" t="s">
        <v>909</v>
      </c>
      <c r="K64" s="15" t="s">
        <v>910</v>
      </c>
      <c r="L64" s="15" t="s">
        <v>911</v>
      </c>
      <c r="M64" s="15" t="s">
        <v>912</v>
      </c>
      <c r="N64" s="15" t="s">
        <v>913</v>
      </c>
      <c r="O64" s="73" t="s">
        <v>914</v>
      </c>
      <c r="P64" s="136"/>
      <c r="Q64" s="56"/>
    </row>
    <row r="65" spans="1:17" ht="12.75">
      <c r="A65" s="54"/>
      <c r="B65" s="47"/>
      <c r="C65" s="254" t="s">
        <v>953</v>
      </c>
      <c r="D65" s="455">
        <v>12</v>
      </c>
      <c r="E65" s="71">
        <v>0</v>
      </c>
      <c r="F65" s="71">
        <v>0</v>
      </c>
      <c r="G65" s="71">
        <v>0</v>
      </c>
      <c r="H65" s="271"/>
      <c r="I65" s="271"/>
      <c r="J65" s="273" t="str">
        <f>IF(E65=0," ",IF(D65&lt;9,"TL Violation",CONCATENATE(ROUND(F65,0),"AV")))</f>
        <v> </v>
      </c>
      <c r="K65" s="74">
        <f>CHOOSE((D65+1),0,0,0,0,0,0,0,0,0,0.4,0.3,0.2,0.15,0.15,0.1,0.1,0.075,0.075,0.05,0.05,0.025,0.025)*Tables!E483*E65</f>
        <v>0</v>
      </c>
      <c r="L65" s="74">
        <f>CHOOSE((((D65+1)-1)+1),0,0,0,0,0,0,0,0,0,0.8,0.6,0.4,0.3,0.3,0.2,0.2,0.15,0.15,0.1,0.1,0.05,0.05)*Tables!E483*E65</f>
        <v>0</v>
      </c>
      <c r="M65" s="22"/>
      <c r="N65" s="68">
        <f>(G65*Tables!E483)/1800</f>
        <v>0</v>
      </c>
      <c r="O65" s="90">
        <f>CHOOSE((D65+1),0,0,0,0,0,0,0,0,0,1,0.8,0.6,0.5,0.5,0.4,0.4,0.3,0.3,0.25,0.25,0.2,0.2)*Tables!E483*E65</f>
        <v>0</v>
      </c>
      <c r="P65" s="83"/>
      <c r="Q65" s="56"/>
    </row>
    <row r="66" spans="1:17" ht="12.75">
      <c r="A66" s="54"/>
      <c r="B66" s="47"/>
      <c r="C66" s="257" t="s">
        <v>954</v>
      </c>
      <c r="D66" s="455">
        <v>12</v>
      </c>
      <c r="E66" s="272">
        <f>E65</f>
        <v>0</v>
      </c>
      <c r="F66" s="271"/>
      <c r="G66" s="271"/>
      <c r="H66" s="271"/>
      <c r="I66" s="271"/>
      <c r="J66" s="271"/>
      <c r="K66" s="74">
        <f>CHOOSE((D66+1),0,0,0,0,0,0,0,0.25,0.125,0.1,0.08,0.06,0.05,0.045,0.04,0.035,0.03,0.025,0.02,0.015,0.01,0.005)*Tables!E483</f>
        <v>0</v>
      </c>
      <c r="L66" s="74">
        <f>K66*2</f>
        <v>0</v>
      </c>
      <c r="M66" s="22"/>
      <c r="N66" s="22"/>
      <c r="O66" s="90">
        <f>K66*0.01</f>
        <v>0</v>
      </c>
      <c r="P66" s="83"/>
      <c r="Q66" s="56"/>
    </row>
    <row r="67" spans="1:17" ht="12.75">
      <c r="A67" s="54"/>
      <c r="B67" s="47"/>
      <c r="C67" s="257" t="s">
        <v>955</v>
      </c>
      <c r="D67" s="455">
        <v>12</v>
      </c>
      <c r="E67" s="71">
        <v>0</v>
      </c>
      <c r="F67" s="71">
        <v>0</v>
      </c>
      <c r="G67" s="271"/>
      <c r="H67" s="271"/>
      <c r="I67" s="271"/>
      <c r="J67" s="273" t="str">
        <f>IF(E67=0," ",IF(D67&lt;9,"TL Violation",CONCATENATE(ROUND(F67,0),"AV")))</f>
        <v> </v>
      </c>
      <c r="K67" s="74">
        <f>CHOOSE((D67+1),0,0,0,0,0,0,0,0,0,0.4,0.3,0.2,0.15,0.15,0.1,0.1,0.075,0.075,0.05,0.05,0.025,0.025)*Tables!E484*E67</f>
        <v>0</v>
      </c>
      <c r="L67" s="74">
        <f>CHOOSE((((D67+1)-1)+1),0,0,0,0,0,0,0,0,0,0.8,0.6,0.4,0.3,0.3,0.2,0.2,0.15,0.15,0.1,0.1,0.05,0.05)*Tables!E484*E67</f>
        <v>0</v>
      </c>
      <c r="M67" s="22"/>
      <c r="N67" s="22"/>
      <c r="O67" s="90">
        <f>CHOOSE((D67+1),0,0,0,0,0,0,0,0,0,1,0.8,0.6,0.5,0.5,0.4,0.4,0.3,0.3,0.25,0.25,0.2,0.2)*Tables!E484*E67</f>
        <v>0</v>
      </c>
      <c r="P67" s="83"/>
      <c r="Q67" s="56"/>
    </row>
    <row r="68" spans="1:17" ht="12.75">
      <c r="A68" s="54"/>
      <c r="B68" s="47"/>
      <c r="C68" s="177" t="s">
        <v>956</v>
      </c>
      <c r="D68" s="455">
        <v>12</v>
      </c>
      <c r="E68" s="71">
        <v>0</v>
      </c>
      <c r="F68" s="71">
        <v>0</v>
      </c>
      <c r="G68" s="271"/>
      <c r="H68" s="271"/>
      <c r="I68" s="271"/>
      <c r="J68" s="274" t="str">
        <f>IF(E68=0," ",IF(F68&gt;CHOOSE((D68+1),0,0,0,0,0,0,0,0,0,0,0,0,0,0,0,4,6,7,8,9,10,10),"TL Violation",CONCATENATE(ROUND(F68*10,0),"% flicker")))</f>
        <v> </v>
      </c>
      <c r="K68" s="76">
        <f>IF(E68=0,0,IF(F68&gt;CHOOSE((D68+1),0,0,0,0,0,0,0,0,0,0,0,0,0,0,0,4,6,7,8,9,10,10),#VALUE!,CHOOSE((F68+1),135,200,270,350,300,400,450,250,250,300)*E68))</f>
        <v>0</v>
      </c>
      <c r="L68" s="76">
        <f>K68</f>
        <v>0</v>
      </c>
      <c r="M68" s="22"/>
      <c r="N68" s="76">
        <f>IF(E68=0,0,IF(F68&gt;CHOOSE((D68+1),0,0,0,0,0,0,0,0,0,0,0,0,0,0,0,4,6,7,8,9,10,10),#VALUE!,CHOOSE((F68+1),#VALUE!,15,20,25,30,35,40,45,45,45,50)*E68))*IF(Tables!$F$3&lt;1400,1,IF(Tables!$F$3&lt;14000,2,IF(Tables!$F$3&lt;140000,3,IF(Tables!$F$3&lt;1400000,4,IF(Tables!$F$3&lt;14000000,5,6)))))</f>
        <v>0</v>
      </c>
      <c r="O68" s="94">
        <f>IF(E68=0,0,IF(F68&gt;CHOOSE((D68+1),0,0,0,0,0,0,0,0,0,0,0,0,0,0,0,4,6,7,8,9,10,10),#VALUE!,CHOOSE((F68+1),400,600,800,1000,500,700,900,500,500,900)*E68))</f>
        <v>0</v>
      </c>
      <c r="P68" s="83"/>
      <c r="Q68" s="56"/>
    </row>
    <row r="69" spans="1:17" ht="12.75">
      <c r="A69" s="54"/>
      <c r="B69" s="47"/>
      <c r="C69" s="262" t="s">
        <v>954</v>
      </c>
      <c r="D69" s="455">
        <v>12</v>
      </c>
      <c r="E69" s="271"/>
      <c r="F69" s="71">
        <v>0</v>
      </c>
      <c r="G69" s="271"/>
      <c r="H69" s="271"/>
      <c r="I69" s="271"/>
      <c r="J69" s="274" t="str">
        <f>IF(E68=0," ",CONCATENATE(ROUND(F69+((K44*0.35)/CHOOSE((D44+1),#VALUE!,0.25,0.125,0.1,0.08,0.06,0.05,0.045,0.04,0.035,0.03,0.025,0.02,0.015,0.01,0.005)),0),"MJ/tn"))</f>
        <v> </v>
      </c>
      <c r="K69" s="74">
        <f>CHOOSE((D69+1),0,0,0,0,0,0,0,0.25,0.125,0.1,0.08,0.06,0.05,0.045,0.04,0.035,0.03,0.025,0.02,0.015,0.01,0.005)*F69</f>
        <v>0</v>
      </c>
      <c r="L69" s="74">
        <f>K69*2</f>
        <v>0</v>
      </c>
      <c r="M69" s="22"/>
      <c r="N69" s="22"/>
      <c r="O69" s="90">
        <f>K69*0.01</f>
        <v>0</v>
      </c>
      <c r="P69" s="83"/>
      <c r="Q69" s="56"/>
    </row>
    <row r="70" spans="1:17" ht="12.75">
      <c r="A70" s="54"/>
      <c r="B70" s="47"/>
      <c r="C70" s="262" t="s">
        <v>957</v>
      </c>
      <c r="D70" s="455">
        <v>12</v>
      </c>
      <c r="E70" s="71">
        <v>0</v>
      </c>
      <c r="F70" s="71">
        <v>0</v>
      </c>
      <c r="G70" s="271"/>
      <c r="H70" s="271"/>
      <c r="I70" s="271"/>
      <c r="J70" s="274" t="str">
        <f>IF(E70=0," ",IF(F70&gt;CHOOSE((D70+1),0,0,0,0,0,0,0,0,0,0,0,0,0,0,0,4,6,7,8,9,10,10),"TL Violation",CONCATENATE(ROUND(F70*10,0),"% flicker")))</f>
        <v> </v>
      </c>
      <c r="K70" s="76">
        <f>IF(E70=0,0,IF(F70&gt;CHOOSE((D70+1),0,0,0,0,0,0,0,0,0,0,0,0,0,0,0,4,6,7,8,9,10,10),#VALUE!,CHOOSE((F70+1),135,200,270,350,300,400,450,250,250,300)*E70))</f>
        <v>0</v>
      </c>
      <c r="L70" s="76">
        <f>K70</f>
        <v>0</v>
      </c>
      <c r="M70" s="22"/>
      <c r="N70" s="22"/>
      <c r="O70" s="94">
        <f>IF(E70=0,0,IF(F70&gt;CHOOSE((D70+1),0,0,0,0,0,0,0,0,0,0,0,0,0,0,0,4,6,7,8,9,10,10),#VALUE!,CHOOSE((F70+1),400,600,800,1000,500,700,900,500,500,900)*E70))</f>
        <v>0</v>
      </c>
      <c r="P70" s="83"/>
      <c r="Q70" s="56"/>
    </row>
    <row r="71" spans="1:17" ht="12.75">
      <c r="A71" s="54"/>
      <c r="B71" s="47"/>
      <c r="C71" s="177" t="s">
        <v>958</v>
      </c>
      <c r="D71" s="455">
        <v>12</v>
      </c>
      <c r="E71" s="71">
        <v>0</v>
      </c>
      <c r="F71" s="71">
        <v>0</v>
      </c>
      <c r="G71" s="271"/>
      <c r="H71" s="271"/>
      <c r="I71" s="271"/>
      <c r="J71" s="274" t="str">
        <f>IF(E71=0," ",IF(D71&lt;12,"TL Violation",CONCATENATE("PV: ",ROUND(F71,0))))</f>
        <v> </v>
      </c>
      <c r="K71" s="76">
        <f>N71*20*Tables!$F$24</f>
        <v>0</v>
      </c>
      <c r="L71" s="76">
        <f>K71*0.75</f>
        <v>0</v>
      </c>
      <c r="M71" s="76">
        <f>N71*10*Tables!$F$25</f>
        <v>0</v>
      </c>
      <c r="N71" s="76">
        <f>IF(E71=0,0,IF(D71&lt;12,#VALUE!,Tables!E489))</f>
        <v>0</v>
      </c>
      <c r="O71" s="94">
        <f>K71*0.1</f>
        <v>0</v>
      </c>
      <c r="P71" s="83"/>
      <c r="Q71" s="56"/>
    </row>
    <row r="72" spans="1:17" ht="12.75">
      <c r="A72" s="54"/>
      <c r="B72" s="47"/>
      <c r="C72" s="262" t="s">
        <v>959</v>
      </c>
      <c r="D72" s="455">
        <v>12</v>
      </c>
      <c r="E72" s="71">
        <v>0</v>
      </c>
      <c r="F72" s="71">
        <v>0</v>
      </c>
      <c r="G72" s="271"/>
      <c r="H72" s="271"/>
      <c r="I72" s="271"/>
      <c r="J72" s="274" t="str">
        <f>IF(E72=0," ",IF(D72&lt;12,"TL Violation",CONCATENATE("PV: ",ROUND(F72,0))))</f>
        <v> </v>
      </c>
      <c r="K72" s="76">
        <f>IF(E72=0,0,IF(D72&lt;12,#VALUE!,Tables!E491))*20*Tables!$F$24</f>
        <v>0</v>
      </c>
      <c r="L72" s="76">
        <f>K72*0.75</f>
        <v>0</v>
      </c>
      <c r="M72" s="76">
        <f>IF(E72=0,0,IF(D72&lt;12,#VALUE!,Tables!E491))*10*Tables!$F$25</f>
        <v>0</v>
      </c>
      <c r="N72" s="22"/>
      <c r="O72" s="94">
        <f>K72*0.1</f>
        <v>0</v>
      </c>
      <c r="P72" s="83"/>
      <c r="Q72" s="56"/>
    </row>
    <row r="73" spans="1:17" ht="12.75">
      <c r="A73" s="54"/>
      <c r="B73" s="47"/>
      <c r="C73" s="177" t="s">
        <v>960</v>
      </c>
      <c r="D73" s="455">
        <v>12</v>
      </c>
      <c r="E73" s="71">
        <v>0</v>
      </c>
      <c r="F73" s="71">
        <v>0</v>
      </c>
      <c r="G73" s="71">
        <v>0</v>
      </c>
      <c r="H73" s="271"/>
      <c r="I73" s="271"/>
      <c r="J73" s="274" t="str">
        <f>IF(E73=0," ",IF(D73&lt;12,"TL Violation",CONCATENATE(ROUND((N73/E73)/CHOOSE((D73+1),0,0,0,0,0,0,0,0,0,0,0,0,0.0005,0.0003,0.0002,0.0001,0.00008,0.00008,0.00006,0.00006,0.00003,0.00003),0),"km")))</f>
        <v> </v>
      </c>
      <c r="K73" s="76">
        <f>CHOOSE((D73+1),0,0,0,0,0,0,0,0,0,0,0,0,5,8,10,11,13,13,18,18,18,18)*N73*Tables!$F$24</f>
        <v>0</v>
      </c>
      <c r="L73" s="76">
        <f>K73</f>
        <v>0</v>
      </c>
      <c r="M73" s="76">
        <f>L73/10*Tables!$F$25</f>
        <v>0</v>
      </c>
      <c r="N73" s="76">
        <f>IF(E73=0,0,IF(D73&lt;12,#VALUE!,MAX(CHOOSE((D73+1),0,0,0,0,0,0,0,0,0,0,0,0,1.5,0.9,0.6,0.3,0.24,0.24,0.18,0.18,0.09,0.09),F73*CHOOSE((D73+1),0,0,0,0,0,0,0,0,0,0,0,0,0.0005,0.0003,0.0002,0.0001,0.00008,0.00008,0.00006,0.00006,0.00003,0.00003))))*E73</f>
        <v>0</v>
      </c>
      <c r="O73" s="94">
        <f>CHOOSE((D73+1),0,0,0,0,0,0,0,0,0,0,0,0,0.13,0.3,0.67,1.5,2,2,4,4,6,6)*N73</f>
        <v>0</v>
      </c>
      <c r="P73" s="83"/>
      <c r="Q73" s="56"/>
    </row>
    <row r="74" spans="1:17" ht="12.75">
      <c r="A74" s="54"/>
      <c r="B74" s="47"/>
      <c r="C74" s="262" t="s">
        <v>961</v>
      </c>
      <c r="D74" s="455">
        <v>12</v>
      </c>
      <c r="E74" s="271"/>
      <c r="F74" s="271"/>
      <c r="G74" s="271"/>
      <c r="H74" s="271"/>
      <c r="I74" s="271"/>
      <c r="J74" s="274" t="str">
        <f>IF(F73&gt;500000,"Target:500,000km"," ")</f>
        <v> </v>
      </c>
      <c r="K74" s="76">
        <f>VLOOKUP(Tables!F495,Tables!$D$119:$Z$125,(((D74+1+1)-1)+1))*E73</f>
        <v>0</v>
      </c>
      <c r="L74" s="76">
        <f>K74</f>
        <v>0</v>
      </c>
      <c r="M74" s="22"/>
      <c r="N74" s="22"/>
      <c r="O74" s="94">
        <f>K74*0.1</f>
        <v>0</v>
      </c>
      <c r="P74" s="83"/>
      <c r="Q74" s="56"/>
    </row>
    <row r="75" spans="1:17" ht="12.75">
      <c r="A75" s="54"/>
      <c r="B75" s="47"/>
      <c r="C75" s="177" t="s">
        <v>962</v>
      </c>
      <c r="D75" s="455">
        <v>12</v>
      </c>
      <c r="E75" s="71">
        <v>0</v>
      </c>
      <c r="F75" s="71">
        <v>0</v>
      </c>
      <c r="G75" s="271"/>
      <c r="H75" s="271"/>
      <c r="I75" s="271"/>
      <c r="J75" s="274" t="str">
        <f>IF(E75=0," ",IF(D75&lt;12,"TL Violation",CONCATENATE("PV: ",ROUND(F75,0))))</f>
        <v> </v>
      </c>
      <c r="K75" s="76">
        <f>N75*20*Tables!$F$24</f>
        <v>0</v>
      </c>
      <c r="L75" s="76">
        <f>K75*0.75</f>
        <v>0</v>
      </c>
      <c r="M75" s="76">
        <f>N75*10*Tables!$F$25</f>
        <v>0</v>
      </c>
      <c r="N75" s="76">
        <f>IF(E75=0,0,IF(D75&lt;12,#VALUE!,Tables!E500))</f>
        <v>0</v>
      </c>
      <c r="O75" s="94">
        <f>K75*0.1</f>
        <v>0</v>
      </c>
      <c r="P75" s="83"/>
      <c r="Q75" s="56"/>
    </row>
    <row r="76" spans="1:17" ht="12.75">
      <c r="A76" s="54"/>
      <c r="B76" s="47"/>
      <c r="C76" s="262" t="s">
        <v>963</v>
      </c>
      <c r="D76" s="455">
        <v>12</v>
      </c>
      <c r="E76" s="71">
        <v>0</v>
      </c>
      <c r="F76" s="71">
        <v>0</v>
      </c>
      <c r="G76" s="271"/>
      <c r="H76" s="271"/>
      <c r="I76" s="271"/>
      <c r="J76" s="274" t="str">
        <f>IF(E76=0," ",IF(D76&lt;12,"TL Violation",CONCATENATE("PV: ",ROUND(F76,0))))</f>
        <v> </v>
      </c>
      <c r="K76" s="76">
        <f>N76*20*Tables!$F$24</f>
        <v>0</v>
      </c>
      <c r="L76" s="76">
        <f>K76*0.75</f>
        <v>0</v>
      </c>
      <c r="M76" s="76">
        <f>IF(E76=0,0,IF(D76&lt;12,#VALUE!,Tables!E502))*10*Tables!$F$25</f>
        <v>0</v>
      </c>
      <c r="N76" s="22"/>
      <c r="O76" s="94">
        <f>K76*0.1</f>
        <v>0</v>
      </c>
      <c r="P76" s="83"/>
      <c r="Q76" s="56"/>
    </row>
    <row r="77" spans="1:17" ht="12.75">
      <c r="A77" s="54"/>
      <c r="B77" s="47"/>
      <c r="C77" s="177" t="s">
        <v>964</v>
      </c>
      <c r="D77" s="455">
        <v>12</v>
      </c>
      <c r="E77" s="71">
        <v>0</v>
      </c>
      <c r="F77" s="71">
        <v>0</v>
      </c>
      <c r="G77" s="71">
        <v>0</v>
      </c>
      <c r="H77" s="71">
        <v>0</v>
      </c>
      <c r="I77" s="271"/>
      <c r="J77" s="274" t="str">
        <f>IF(E77=0," ",IF(D77&lt;8,"TL Violation",CONCATENATE("AV:",ROUND(F77,0)," (",ROUND(G77,0)," cans)")))</f>
        <v> </v>
      </c>
      <c r="K77" s="76">
        <f>IF($E77=0,0,IF($D77&lt;8,#VALUE!,(Tables!$E512*$E77)))*Tables!$F$24</f>
        <v>0</v>
      </c>
      <c r="L77" s="76">
        <f>IF($E77=0,0,IF($D77&lt;8,Infinity,(Tables!E510*$E77)))</f>
        <v>0</v>
      </c>
      <c r="M77" s="76">
        <f>IF($E77=0,0,IF($D77&lt;8,#VALUE!,Tables!E513*$E77))*Tables!$F$25</f>
        <v>0</v>
      </c>
      <c r="N77" s="22"/>
      <c r="O77" s="94">
        <f>IF($E77=0,0,IF($D77&lt;8,#VALUE!,(Tables!E511*$E77)))</f>
        <v>0</v>
      </c>
      <c r="P77" s="83"/>
      <c r="Q77" s="56"/>
    </row>
    <row r="78" spans="1:17" ht="12.75">
      <c r="A78" s="54"/>
      <c r="B78" s="47"/>
      <c r="C78" s="177" t="s">
        <v>965</v>
      </c>
      <c r="D78" s="455">
        <v>12</v>
      </c>
      <c r="E78" s="71">
        <v>0</v>
      </c>
      <c r="F78" s="71">
        <v>0</v>
      </c>
      <c r="G78" s="71">
        <v>0</v>
      </c>
      <c r="H78" s="271"/>
      <c r="I78" s="271"/>
      <c r="J78" s="274" t="str">
        <f>IF(E78=0," ",IF(D78&lt;CHOOSE((G78+1),12,16,16),"TL Violation",CONCATENATE(ROUND(F78,0),"kN ",CHOOSE((G78+1),"Tract","Repul","Manip"))))</f>
        <v> </v>
      </c>
      <c r="K78" s="76">
        <f>IF(E78=0,0,IF(D78&lt;CHOOSE((G78+1),12,16,16),#VALUE!,F78/CHOOSE((G78+1),CHOOSE((D78+1),0,0,0,0,0,0,0,0,0,0,0,0,30,30,300,300,3000,3000,6000,6000,15000,15000),CHOOSE((D78+1),0,0,0,0,0,0,0,0,0,0,0,0,0,0,0,0,200,200,400,400,800,800),CHOOSE((D78+1),0,0,0,0,0,0,0,0,0,0,0,0,0,0,0,0,200,200,400,400,800,800))*E78*Tables!$F$24))</f>
        <v>0</v>
      </c>
      <c r="L78" s="76">
        <f>K78</f>
        <v>0</v>
      </c>
      <c r="M78" s="76">
        <f>L78/10*Tables!$F$25</f>
        <v>0</v>
      </c>
      <c r="N78" s="76">
        <f>IF(E78=0,0,IF(D78&lt;CHOOSE((G78+1),12,16,16),#VALUE!,E78*F78*CHOOSE((G78+1),0.001,0.002,0.002)))</f>
        <v>0</v>
      </c>
      <c r="O78" s="94">
        <f>K78*CHOOSE((G78+1),0.1,0.2,0.3)</f>
        <v>0</v>
      </c>
      <c r="P78" s="83"/>
      <c r="Q78" s="56"/>
    </row>
    <row r="79" spans="1:17" ht="12.75">
      <c r="A79" s="54"/>
      <c r="B79" s="47"/>
      <c r="C79" s="262" t="s">
        <v>961</v>
      </c>
      <c r="D79" s="455">
        <v>12</v>
      </c>
      <c r="E79" s="271"/>
      <c r="F79" s="71">
        <v>0</v>
      </c>
      <c r="G79" s="271"/>
      <c r="H79" s="271"/>
      <c r="I79" s="271"/>
      <c r="J79" s="271"/>
      <c r="K79" s="76">
        <f>VLOOKUP(Tables!F525,Tables!$D$119:$Z$125,(D79+1+1))*E78</f>
        <v>0</v>
      </c>
      <c r="L79" s="76">
        <f>K79</f>
        <v>0</v>
      </c>
      <c r="M79" s="22"/>
      <c r="N79" s="22"/>
      <c r="O79" s="94">
        <f>K79*0.1</f>
        <v>0</v>
      </c>
      <c r="P79" s="83"/>
      <c r="Q79" s="56"/>
    </row>
    <row r="80" spans="1:17" ht="12.75">
      <c r="A80" s="54"/>
      <c r="B80" s="47"/>
      <c r="C80" s="80" t="s">
        <v>966</v>
      </c>
      <c r="D80" s="271"/>
      <c r="E80" s="271"/>
      <c r="F80" s="71">
        <v>0</v>
      </c>
      <c r="G80" s="271"/>
      <c r="H80" s="271"/>
      <c r="I80" s="271"/>
      <c r="J80" s="272" t="str">
        <f>IF(F80=0,"None",CONCATENATE(ROUND(Tables!G44*100,2),"cm thick"))</f>
        <v>None</v>
      </c>
      <c r="K80" s="68">
        <f>Tables!F44*Tables!G44*StealthVolMod</f>
        <v>0</v>
      </c>
      <c r="L80" s="68">
        <f>K80*Tables!$F$10</f>
        <v>0</v>
      </c>
      <c r="M80" s="70"/>
      <c r="N80" s="68">
        <f>0.001*K80*Tables!$F$12</f>
        <v>0</v>
      </c>
      <c r="O80" s="81">
        <f>Tables!$F$11*K80</f>
        <v>0</v>
      </c>
      <c r="P80" s="83"/>
      <c r="Q80" s="56"/>
    </row>
    <row r="81" spans="1:17" ht="12.75">
      <c r="A81" s="54"/>
      <c r="B81" s="131"/>
      <c r="C81" s="302" t="s">
        <v>240</v>
      </c>
      <c r="D81" s="35" t="s">
        <v>903</v>
      </c>
      <c r="E81" s="35" t="s">
        <v>904</v>
      </c>
      <c r="F81" s="35" t="s">
        <v>905</v>
      </c>
      <c r="G81" s="35" t="s">
        <v>906</v>
      </c>
      <c r="H81" s="35" t="s">
        <v>907</v>
      </c>
      <c r="I81" s="35" t="s">
        <v>908</v>
      </c>
      <c r="J81" s="35" t="s">
        <v>909</v>
      </c>
      <c r="K81" s="15" t="s">
        <v>910</v>
      </c>
      <c r="L81" s="15" t="s">
        <v>911</v>
      </c>
      <c r="M81" s="15" t="s">
        <v>912</v>
      </c>
      <c r="N81" s="15" t="s">
        <v>913</v>
      </c>
      <c r="O81" s="73" t="s">
        <v>914</v>
      </c>
      <c r="P81" s="136"/>
      <c r="Q81" s="56"/>
    </row>
    <row r="82" spans="1:17" ht="12.75">
      <c r="A82" s="54"/>
      <c r="B82" s="47"/>
      <c r="C82" s="282" t="s">
        <v>790</v>
      </c>
      <c r="D82" s="455">
        <v>12</v>
      </c>
      <c r="E82" s="71">
        <v>0</v>
      </c>
      <c r="F82" s="71">
        <v>0</v>
      </c>
      <c r="G82" s="271"/>
      <c r="H82" s="271"/>
      <c r="I82" s="271"/>
      <c r="J82" s="272" t="str">
        <f>IF(E82=0," ",IF(D82&lt;8,"TL Violation",CHOOSE((F82+1),"0.5km","5km","50km","500km","5,000km","50,000km","500,000km")))</f>
        <v> </v>
      </c>
      <c r="K82" s="68">
        <f>IF($E$82=0,0,$E$82*VLOOKUP($F$82,Tables!$D$128:$Z$134,($D$82+1+1)))</f>
        <v>0</v>
      </c>
      <c r="L82" s="68">
        <f>K82</f>
        <v>0</v>
      </c>
      <c r="M82" s="70"/>
      <c r="N82" s="68">
        <f>K82*0.01</f>
        <v>0</v>
      </c>
      <c r="O82" s="81">
        <f>K82</f>
        <v>0</v>
      </c>
      <c r="P82" s="83"/>
      <c r="Q82" s="56"/>
    </row>
    <row r="83" spans="1:17" ht="12.75">
      <c r="A83" s="54"/>
      <c r="B83" s="47"/>
      <c r="C83" s="282" t="s">
        <v>792</v>
      </c>
      <c r="D83" s="455">
        <v>12</v>
      </c>
      <c r="E83" s="71">
        <v>0</v>
      </c>
      <c r="F83" s="71">
        <v>0</v>
      </c>
      <c r="G83" s="271"/>
      <c r="H83" s="271"/>
      <c r="I83" s="271"/>
      <c r="J83" s="272" t="str">
        <f>IF(E83=0," ",IF(D83&lt;8,"TL Violation",CHOOSE((F83+1),"5km","50km","500km","5,000km","50,000km","500,000km")))</f>
        <v> </v>
      </c>
      <c r="K83" s="68">
        <f>IF($E$83=0,0,$E$83*(VLOOKUP($F$83+1,Tables!$D$128:$Z$134,($D$83+1+1))+(VLOOKUP($F$83,Tables!$D$160:$Z$166,($D$83+1+1))*Tables!$F$24)))</f>
        <v>0</v>
      </c>
      <c r="L83" s="68">
        <f>IF($E$83=0,0,$E$83*(VLOOKUP($F$83+1,Tables!$D$128:$Z$134,((($D$83+2)-1)+1))+(VLOOKUP($F$83,Tables!$D$160:$Z$166,((($D$83+2)-1)+1))*Tables!$F$24*2)))</f>
        <v>0</v>
      </c>
      <c r="M83" s="70"/>
      <c r="N83" s="68">
        <f>IF($E$83=0,0,$E$83*((VLOOKUP($F$83+1,Tables!$D$128:$Z$134,($D$83+1+1))*0.01)+CHOOSE((F83+1),0.000054,0.000107,0.000215,0.00043,0.000852,0.002019,0.003)))</f>
        <v>0</v>
      </c>
      <c r="O83" s="81">
        <f>IF($E$83=0,0,$E$83*(VLOOKUP($F$83+1,Tables!$D$128:$Z$134,($D$83+1+1))+CHOOSE((F83+1),0.001,0.005,0.012,0.022,0.037,0.071,0.18)))</f>
        <v>0</v>
      </c>
      <c r="P83" s="83"/>
      <c r="Q83" s="56"/>
    </row>
    <row r="84" spans="1:17" ht="12.75">
      <c r="A84" s="54"/>
      <c r="B84" s="47"/>
      <c r="C84" s="254" t="s">
        <v>967</v>
      </c>
      <c r="D84" s="455">
        <v>12</v>
      </c>
      <c r="E84" s="71">
        <v>0</v>
      </c>
      <c r="F84" s="71">
        <v>0</v>
      </c>
      <c r="G84" s="271"/>
      <c r="H84" s="271"/>
      <c r="I84" s="271"/>
      <c r="J84" s="272" t="str">
        <f>IF(E84=0," ",IF(D84&lt;5,"TL Violation",CHOOSE((F84+1),"CM:1.0 CP:1.0","CM:0.8 CP:1.25","CM:0.7 CP:1.43","CM:0.6 CP:1.67","CM:0.5 CP:2.0","CM:0.45 CP:2.22","CM:0.4 CP:2.5","CM:0.35 CP:2.86","CM:0.3 CP:3.33","CM:0.25 CP:4.0","CM:0.2 CP:5.0")))</f>
        <v> </v>
      </c>
      <c r="K84" s="68">
        <f>IF(E84=0,0,VLOOKUP(F84,Tables!$D$137:$AA$147,(D84+1+1))*0.1*E84)</f>
        <v>0</v>
      </c>
      <c r="L84" s="68">
        <f>K84*0.2</f>
        <v>0</v>
      </c>
      <c r="M84" s="70"/>
      <c r="N84" s="68">
        <f>CHOOSE((D84+1),0,0,0,0,0,0.01,0.01,0.03,0.04,0.05,0.05,0.05,0.05,0.05,0.06,0.08,0.1,0.12,0.15,0.18,0.25,0.45)*K84</f>
        <v>0</v>
      </c>
      <c r="O84" s="81">
        <f>CHOOSE((D84+1),0,0,0,0,0.03,0.1,0.1,0.1,0.12,0.17,0.29,0.38,0.44,0.63,0.86,1.67,2.2,3,4.33,7,15)*K84*0.01</f>
        <v>0</v>
      </c>
      <c r="P84" s="83"/>
      <c r="Q84" s="56"/>
    </row>
    <row r="85" spans="1:17" ht="12.75">
      <c r="A85" s="54"/>
      <c r="B85" s="47"/>
      <c r="C85" s="254" t="s">
        <v>968</v>
      </c>
      <c r="D85" s="455">
        <v>12</v>
      </c>
      <c r="E85" s="71">
        <v>3</v>
      </c>
      <c r="F85" s="71">
        <v>0</v>
      </c>
      <c r="G85" s="271"/>
      <c r="H85" s="271"/>
      <c r="I85" s="271"/>
      <c r="J85" s="272" t="str">
        <f>IF(E85=0," ",IF(D85&lt;5,"TL Violation",CHOOSE((F85+1),"CM:1.0 CP:1.0","CM:0.8 CP:1.25","CM:0.7 CP:1.43","CM:0.6 CP:1.67","CM:0.5 CP:2.0","CM:0.45 CP:2.22","CM:0.4 CP:2.5","CM:0.35 CP:2.86","CM:0.3 CP:3.33","CM:0.25 CP:4.0","CM:0.2 CP:5.0")))</f>
        <v>CM:1.0 CP:1.0</v>
      </c>
      <c r="K85" s="68">
        <f>IF(E85=0,0,VLOOKUP(F85,Tables!$D$137:$AA$147,(D85+1+1))*E85)</f>
        <v>0.015</v>
      </c>
      <c r="L85" s="68">
        <f>K85*0.2</f>
        <v>0.003</v>
      </c>
      <c r="M85" s="70"/>
      <c r="N85" s="68">
        <f>CHOOSE((D85+1),0,0,0,0,0,0.01,0.01,0.03,0.04,0.05,0.05,0.05,0.05,0.05,0.06,0.08,0.1,0.12,0.15,0.18,0.25,0.45)*K85</f>
        <v>0.00075</v>
      </c>
      <c r="O85" s="81">
        <f>CHOOSE((D85+1),0,0,0,0,0.03,0.1,0.1,0.1,0.12,0.17,0.29,0.38,0.44,0.63,0.86,1.67,2.2,3,4.33,7,15)*K85</f>
        <v>0.0066</v>
      </c>
      <c r="P85" s="83"/>
      <c r="Q85" s="56"/>
    </row>
    <row r="86" spans="1:17" ht="12.75">
      <c r="A86" s="54"/>
      <c r="B86" s="47"/>
      <c r="C86" s="254" t="s">
        <v>969</v>
      </c>
      <c r="D86" s="455">
        <v>12</v>
      </c>
      <c r="E86" s="71">
        <v>0</v>
      </c>
      <c r="F86" s="71">
        <v>0</v>
      </c>
      <c r="G86" s="271"/>
      <c r="H86" s="271"/>
      <c r="I86" s="271"/>
      <c r="J86" s="272" t="str">
        <f>IF(E86=0," ",IF(D86&lt;5,"TL Violation",CHOOSE((F86+1),"CM:1.0 CP:1.0","CM:0.8 CP:1.25","CM:0.7 CP:1.43","CM:0.6 CP:1.67","CM:0.5 CP:2.0","CM:0.45 CP:2.22","CM:0.4 CP:2.5","CM:0.35 CP:2.86","CM:0.3 CP:3.33","CM:0.25 CP:4.0","CM:0.2 CP:5.0")))</f>
        <v> </v>
      </c>
      <c r="K86" s="68">
        <f>IF(E86=0,0,VLOOKUP(F86,Tables!$D$137:$AA$147,(D86+1+1))*2*E86)</f>
        <v>0</v>
      </c>
      <c r="L86" s="68">
        <f>K86*0.2</f>
        <v>0</v>
      </c>
      <c r="M86" s="70"/>
      <c r="N86" s="68">
        <f>CHOOSE((D86+1),0,0,0,0,0,0.01,0.01,0.03,0.04,0.05,0.05,0.05,0.05,0.05,0.06,0.08,0.1,0.12,0.15,0.18,0.25,0.45)*K86</f>
        <v>0</v>
      </c>
      <c r="O86" s="81">
        <f>CHOOSE((D86+1),0,0,0,0,0.03,0.1,0.1,0.1,0.12,0.17,0.29,0.38,0.44,0.63,0.86,1.67,2.2,3,4.33,7,15)*K86</f>
        <v>0</v>
      </c>
      <c r="P86" s="83"/>
      <c r="Q86" s="56"/>
    </row>
    <row r="87" spans="1:17" ht="12.75">
      <c r="A87" s="54"/>
      <c r="B87" s="47"/>
      <c r="C87" s="254" t="s">
        <v>970</v>
      </c>
      <c r="D87" s="271"/>
      <c r="E87" s="271"/>
      <c r="F87" s="71">
        <v>1</v>
      </c>
      <c r="G87" s="271"/>
      <c r="H87" s="271"/>
      <c r="I87" s="271"/>
      <c r="J87" s="272" t="str">
        <f>CHOOSE((F87+1),"Low","Standard","High")</f>
        <v>Standard</v>
      </c>
      <c r="K87" s="70"/>
      <c r="L87" s="70"/>
      <c r="M87" s="70"/>
      <c r="N87" s="70"/>
      <c r="O87" s="79"/>
      <c r="P87" s="83"/>
      <c r="Q87" s="56"/>
    </row>
    <row r="88" spans="1:17" ht="12.75">
      <c r="A88" s="54"/>
      <c r="B88" s="47"/>
      <c r="C88" s="254" t="s">
        <v>971</v>
      </c>
      <c r="D88" s="455">
        <v>12</v>
      </c>
      <c r="E88" s="271"/>
      <c r="F88" s="271"/>
      <c r="G88" s="271"/>
      <c r="H88" s="271"/>
      <c r="I88" s="271"/>
      <c r="J88" s="272" t="str">
        <f>CHOOSE((D88+1)," "," "," "," ","Primitive","Basic","Enhanced","Electronic","Electronic Linked","Computer","Dynamic","Dynamic","Dynamic","Holographic","Holographic","Holographic","Holographic","Synaptic","Synaptic","Synaptic","Synaptic","Advanced")</f>
        <v>Dynamic</v>
      </c>
      <c r="K88" s="68">
        <f>0.001*Tables!$F$3</f>
        <v>1.4000000000000001</v>
      </c>
      <c r="L88" s="68">
        <f>K88*0.0001</f>
        <v>0.00014000000000000001</v>
      </c>
      <c r="M88" s="70"/>
      <c r="N88" s="68">
        <f>CHOOSE((D88+1),0,0,0,0,0,0,0.000015,0.000038,0.000038,0.000038,0.000075,0.000075,0.000075,0.000075,0.000075,0.000075,0.000075,0.000075,0.000075,0.000075,0.000075,0.000075)*Tables!$F$3*CHOOSE((((F87+1)-1)+1),0.95,1,1.1)</f>
        <v>0.105</v>
      </c>
      <c r="O88" s="81">
        <f>Tables!$F$3*CHOOSE((F87+1),0.95,1,1.1)*CHOOSE((D88+1),0,0,0,0,0.000007,0.000015,0.000022,0.000038,0.000057,0.000075,0.000112,0.000112,0.000112,0.00015,0.00015,0.00015,0.00015,0.000188,0.000188,0.000188,0.000188,0.000225)</f>
        <v>0.1568</v>
      </c>
      <c r="P88" s="83"/>
      <c r="Q88" s="56"/>
    </row>
    <row r="89" spans="1:17" ht="12.75">
      <c r="A89" s="54"/>
      <c r="B89" s="47"/>
      <c r="C89" s="254" t="s">
        <v>972</v>
      </c>
      <c r="D89" s="455">
        <v>12</v>
      </c>
      <c r="E89" s="71">
        <v>1</v>
      </c>
      <c r="F89" s="271"/>
      <c r="G89" s="271"/>
      <c r="H89" s="271"/>
      <c r="I89" s="271"/>
      <c r="J89" s="271"/>
      <c r="K89" s="68">
        <f>CHOOSE((D89+1),0,0,0.0001,0.0001,0.0001,0.0001,0.0001,0.001,0.001,0.001,0.001,0.001,0.001,0.001,0.001,0.001,0.001,0.001,0.001,0.001,0.001,0.001)*E89</f>
        <v>0.001</v>
      </c>
      <c r="L89" s="68">
        <f>K89</f>
        <v>0.001</v>
      </c>
      <c r="M89" s="70"/>
      <c r="N89" s="68">
        <f>E89*CHOOSE((D89+1),0,0,0,0,0,0,0.0002,0.0005,0.0005,0.0005,0.0005,0.0005,0.0005,0.0005,0.0005,0.0005,0.0005,0.0005,0.0005,0.0005,0.0005,0.0005)</f>
        <v>0.0005</v>
      </c>
      <c r="O89" s="81">
        <f>E89*CHOOSE((D89+1),0,0,0.001,0.001,0.001,0.001,0.001,0.005,0.005,0.05,0.005,0.05,0.05,0.05,0.05,0.05,0.05,0.05,0.05,0.05,0.05,0.05)</f>
        <v>0.05</v>
      </c>
      <c r="P89" s="83"/>
      <c r="Q89" s="56"/>
    </row>
    <row r="90" spans="1:17" ht="12.75">
      <c r="A90" s="54"/>
      <c r="B90" s="47"/>
      <c r="C90" s="254" t="s">
        <v>973</v>
      </c>
      <c r="D90" s="455">
        <v>12</v>
      </c>
      <c r="E90" s="71">
        <v>1</v>
      </c>
      <c r="F90" s="271"/>
      <c r="G90" s="271"/>
      <c r="H90" s="271"/>
      <c r="I90" s="271"/>
      <c r="J90" s="271"/>
      <c r="K90" s="68">
        <f>CHOOSE((D90+1),0,0,0,0,0,0.0001,0.0001,0.001,0.001,0.001,0.001,0.001,0.001,0.001,0.001,0.001,0.001,0.001,0.001,0.001,0.001,0.001)*E90</f>
        <v>0.001</v>
      </c>
      <c r="L90" s="68">
        <f>K90</f>
        <v>0.001</v>
      </c>
      <c r="M90" s="70"/>
      <c r="N90" s="68">
        <f>CHOOSE((D90+1),0,0,0,0,0,0,0.0005,0.001,0.001,0.001,0.001,0.001,0.001,0.001,0.001,0.001,0.001,0.001,0.001,0.001,0.001,0.001)*E90</f>
        <v>0.001</v>
      </c>
      <c r="O90" s="81">
        <f>CHOOSE((D90+1),0,0,0,0,0,0.001,0.005,0.01,0.02,0.02,0.025,0.025,0.025,0.025,0.025,0.025,0.025,0.025,0.025,0.025,0.025,0.025)*E90</f>
        <v>0.025</v>
      </c>
      <c r="P90" s="83"/>
      <c r="Q90" s="56"/>
    </row>
    <row r="91" spans="1:17" ht="12.75">
      <c r="A91" s="54"/>
      <c r="B91" s="47"/>
      <c r="C91" s="254" t="s">
        <v>974</v>
      </c>
      <c r="D91" s="455">
        <v>12</v>
      </c>
      <c r="E91" s="71">
        <v>0</v>
      </c>
      <c r="F91" s="271"/>
      <c r="G91" s="271"/>
      <c r="H91" s="271"/>
      <c r="I91" s="271"/>
      <c r="J91" s="272">
        <f>IF(E91=0,"",CHOOSE((D91+1),"TF:120, NOE:40","TF:120, NOE:40","TF:120, NOE:40","TF:120, NOE:40","TF:120, NOE:40","TF:120, NOE:40","TF:120, NOE:40","TF:120, NOE:40","TF:360, NOE:120","TF:390, NOE:130","TF:420, NOE:140","TF:450, NOE:150","TF:480, NOE:160","TF:510, NOE:170","TF:540, NOE:180","TF:570, NOE:190","TF:600, NOE:200","TF:750, NOE:250","TF:900, NOE:300","TF:1050, NOE:350","TF:1200, NOE:400","TF:1350, NOE:450"))</f>
      </c>
      <c r="K91" s="68">
        <f>CHOOSE((D91+1),0,0,0,0,0,0,0,0,0.2,0.02,0.15,0.15,0.1,0.1,0.05,0.05,0.03,0.03,0.02,0.02,0.01,0.01)*E91*Tables!$F$24</f>
        <v>0</v>
      </c>
      <c r="L91" s="68">
        <f>CHOOSE((((D91+1)-1)+1),0,0,0,0,0,0,0,0,0.05,0.04,0.04,0.03,0.03,0.02,0.02,0.02,0.03,0.03,0.04,0.04,0.05,0.05)*E91</f>
        <v>0</v>
      </c>
      <c r="M91" s="68">
        <f>CHOOSE((D91+1),0,0,0,0,0,0,0,0,0.5,0.4,0.4,0.3,0.3,0.2,0.2,0.2,0.3,0.3,0.4,0.4,0.5,0.5)*E91*Tables!$F$25</f>
        <v>0</v>
      </c>
      <c r="N91" s="68">
        <f>L91*0.1</f>
        <v>0</v>
      </c>
      <c r="O91" s="81">
        <f>CHOOSE((D91+1),0,0,0,0,0,0,0,0,0.01,0.011,0.012,0.013,0.014,0.015,0.016,0.017,0.018,0.019,0.02,0.022,0.024,0.028)*E91</f>
        <v>0</v>
      </c>
      <c r="P91" s="83"/>
      <c r="Q91" s="56"/>
    </row>
    <row r="92" spans="1:17" ht="12.75">
      <c r="A92" s="54"/>
      <c r="B92" s="47"/>
      <c r="C92" s="80" t="s">
        <v>975</v>
      </c>
      <c r="D92" s="271"/>
      <c r="E92" s="271"/>
      <c r="F92" s="71">
        <v>0</v>
      </c>
      <c r="G92" s="271"/>
      <c r="H92" s="271"/>
      <c r="I92" s="271"/>
      <c r="J92" s="272" t="str">
        <f>IF(F92=0,"None",CONCATENATE(ROUND(Tables!G46*100,2),"cm thick"))</f>
        <v>None</v>
      </c>
      <c r="K92" s="68">
        <f>Tables!F46*Tables!G46*Tables!F24</f>
        <v>0</v>
      </c>
      <c r="L92" s="68">
        <f>K92*Tables!$F$10</f>
        <v>0</v>
      </c>
      <c r="M92" s="70"/>
      <c r="N92" s="68">
        <f>0.001*K92*Tables!$F$12</f>
        <v>0</v>
      </c>
      <c r="O92" s="81">
        <f>Tables!$F$11*K92</f>
        <v>0</v>
      </c>
      <c r="P92" s="83"/>
      <c r="Q92" s="56"/>
    </row>
    <row r="93" spans="1:17" ht="12.75">
      <c r="A93" s="54"/>
      <c r="B93" s="47"/>
      <c r="C93" s="302" t="s">
        <v>247</v>
      </c>
      <c r="D93" s="35"/>
      <c r="E93" s="35" t="s">
        <v>904</v>
      </c>
      <c r="F93" s="35" t="s">
        <v>905</v>
      </c>
      <c r="G93" s="35" t="s">
        <v>906</v>
      </c>
      <c r="H93" s="35" t="s">
        <v>907</v>
      </c>
      <c r="I93" s="35" t="s">
        <v>908</v>
      </c>
      <c r="J93" s="35" t="s">
        <v>909</v>
      </c>
      <c r="K93" s="15" t="s">
        <v>910</v>
      </c>
      <c r="L93" s="15" t="s">
        <v>911</v>
      </c>
      <c r="M93" s="15" t="s">
        <v>912</v>
      </c>
      <c r="N93" s="15" t="s">
        <v>913</v>
      </c>
      <c r="O93" s="73" t="s">
        <v>914</v>
      </c>
      <c r="P93" s="83"/>
      <c r="Q93" s="56"/>
    </row>
    <row r="94" spans="1:17" ht="12.75">
      <c r="A94" s="54"/>
      <c r="B94" s="47"/>
      <c r="C94" s="254" t="s">
        <v>976</v>
      </c>
      <c r="D94" s="455">
        <v>12</v>
      </c>
      <c r="E94" s="158">
        <v>0</v>
      </c>
      <c r="F94" s="158">
        <v>0</v>
      </c>
      <c r="G94" s="158">
        <v>0</v>
      </c>
      <c r="H94" s="267"/>
      <c r="I94" s="267"/>
      <c r="J94" s="273">
        <f>IF(E94=0,"",IF(D94&lt;5,"TL Violation",CHOOSE((G94+1),CHOOSE((F94+1),"5km","50km","500km","5,000km","50,000km","500,000km","1,000AU"),IF(D94&lt;6,"TL Violation",CHOOSE((F94+1),"50km","500km","5,000km","50,000km","500,000km","5,000,000km","10,000AU")),IF(D94&lt;7,"TL Violation",CHOOSE((F94+1),"500km","5,000km","50,000km","500,000km","5,000,000km","50,000,000km","100,000AU")))))</f>
      </c>
      <c r="K94" s="74">
        <f>IF(E94=0,0,VLOOKUP(F94,Tables!$D$151:$Z$157,(D94+1+1))*E94)*Tables!$F$24</f>
        <v>0</v>
      </c>
      <c r="L94" s="74">
        <f aca="true" t="shared" si="0" ref="L94:L101">K94*2</f>
        <v>0</v>
      </c>
      <c r="M94" s="74">
        <f>N94*1000*Tables!$F$25</f>
        <v>0</v>
      </c>
      <c r="N94" s="74">
        <f>CHOOSE((F94+1),0.000002,0.000017,0.000167,0.001667,0.016667,0.166667,0.2)*E94*0.1</f>
        <v>0</v>
      </c>
      <c r="O94" s="90">
        <f>CHOOSE((F94+1),0.000088,0.000269,0.000833,0.006852,0.034444,0.134444,0.15)*IF(D94&lt;6,3,IF(D94&lt;7,2,1))*E94/3*CHOOSE((G94+1),1,1.5,3)</f>
        <v>0</v>
      </c>
      <c r="P94" s="83"/>
      <c r="Q94" s="56"/>
    </row>
    <row r="95" spans="1:17" ht="12.75">
      <c r="A95" s="54"/>
      <c r="B95" s="47"/>
      <c r="C95" s="262" t="s">
        <v>977</v>
      </c>
      <c r="D95" s="455">
        <v>12</v>
      </c>
      <c r="E95" s="65">
        <v>0</v>
      </c>
      <c r="F95" s="65">
        <v>0</v>
      </c>
      <c r="G95" s="65">
        <v>0</v>
      </c>
      <c r="H95" s="268"/>
      <c r="I95" s="268"/>
      <c r="J95" s="274">
        <f>IF(E95=0,"",IF(D95&lt;5,"TL Violation",CHOOSE((F95+1),"5km","50km","500km","5,000km","50,000km","500,000km","1,000AU")))</f>
      </c>
      <c r="K95" s="76">
        <f>IF(E95=0,0,VLOOKUP(F95,Tables!$D$151:$Z$157,(D95+1+1))*E95)*Tables!$F$24</f>
        <v>0</v>
      </c>
      <c r="L95" s="76">
        <f t="shared" si="0"/>
        <v>0</v>
      </c>
      <c r="M95" s="76">
        <f>CHOOSE((F95+1),0.000002,0.000017,0.000167,0.001667,0.016667,0.166667,0.2)*E95*0.1*1000*Tables!$F$25</f>
        <v>0</v>
      </c>
      <c r="N95" s="84"/>
      <c r="O95" s="94">
        <f>CHOOSE((F95+1),0.000088,0.000269,0.000833,0.006852,0.034444,0.134444,0.15)*IF(D95&lt;6,3,IF(D95&lt;7,2,1))*E95/3*CHOOSE((G95+1),1,1.5,3)</f>
        <v>0</v>
      </c>
      <c r="P95" s="83"/>
      <c r="Q95" s="56"/>
    </row>
    <row r="96" spans="1:17" ht="12.75">
      <c r="A96" s="54"/>
      <c r="B96" s="47"/>
      <c r="C96" s="177" t="s">
        <v>978</v>
      </c>
      <c r="D96" s="455">
        <v>12</v>
      </c>
      <c r="E96" s="65">
        <v>1</v>
      </c>
      <c r="F96" s="65">
        <v>5</v>
      </c>
      <c r="G96" s="65">
        <v>0</v>
      </c>
      <c r="H96" s="268"/>
      <c r="I96" s="268"/>
      <c r="J96" s="274" t="str">
        <f>IF(E96=0,"",IF(D96&lt;5,"TL Violation",CHOOSE((F96+1),"5km","50km","500km","5,000km","50,000km","500,000km","1,000AU")))</f>
        <v>500,000km</v>
      </c>
      <c r="K96" s="76">
        <f>IF(E96=0,0,VLOOKUP(F96,Tables!$D$151:$Z$157,(D96+1+1))*E96)*Tables!$F$24</f>
        <v>0.0796</v>
      </c>
      <c r="L96" s="76">
        <f t="shared" si="0"/>
        <v>0.1592</v>
      </c>
      <c r="M96" s="76">
        <f>N96*1000*Tables!$F$25</f>
        <v>166.667</v>
      </c>
      <c r="N96" s="76">
        <f>CHOOSE((F96+1),0.000002,0.000017,0.000167,0.001667,0.016667,0.166667,0.2)*E96</f>
        <v>0.166667</v>
      </c>
      <c r="O96" s="94">
        <f>CHOOSE((F96+1),0.000088,0.000269,0.000833,0.006852,0.034444,0.134444,0.15)*IF(D96&lt;6,3,IF(D96&lt;7,2,1))*E96*CHOOSE((G96+1),1,1.5,3)</f>
        <v>0.134444</v>
      </c>
      <c r="P96" s="83"/>
      <c r="Q96" s="56"/>
    </row>
    <row r="97" spans="1:17" ht="12.75">
      <c r="A97" s="54"/>
      <c r="B97" s="47"/>
      <c r="C97" s="262" t="s">
        <v>979</v>
      </c>
      <c r="D97" s="455">
        <v>12</v>
      </c>
      <c r="E97" s="65">
        <v>0</v>
      </c>
      <c r="F97" s="65">
        <v>0</v>
      </c>
      <c r="G97" s="65">
        <v>0</v>
      </c>
      <c r="H97" s="268"/>
      <c r="I97" s="268"/>
      <c r="J97" s="274">
        <f>IF(E97=0,"",IF(D97&lt;5,"TL Violation",CHOOSE((F97+1),"5km","50km","500km","5,000km","50,000km","500,000km","1,000AU")))</f>
      </c>
      <c r="K97" s="76">
        <f>IF(E97=0,0,VLOOKUP(F97,Tables!$D$151:$Z$157,(D97+1+1))*E97)*Tables!$F$24</f>
        <v>0</v>
      </c>
      <c r="L97" s="76">
        <f t="shared" si="0"/>
        <v>0</v>
      </c>
      <c r="M97" s="76">
        <f>CHOOSE((F97+1),0.000002,0.000017,0.000167,0.001667,0.016667,0.166667,0.2)*E97*1000*Tables!$F$25</f>
        <v>0</v>
      </c>
      <c r="N97" s="84"/>
      <c r="O97" s="94">
        <f>CHOOSE((F97+1),0.000088,0.000269,0.000833,0.006852,0.034444,0.134444,0.15)*IF(D97&lt;6,3,IF(D97&lt;7,2,1))*E97*CHOOSE((G97+1),1,1.5,3)</f>
        <v>0</v>
      </c>
      <c r="P97" s="83"/>
      <c r="Q97" s="56"/>
    </row>
    <row r="98" spans="1:17" ht="12.75">
      <c r="A98" s="54"/>
      <c r="B98" s="47"/>
      <c r="C98" s="177" t="s">
        <v>980</v>
      </c>
      <c r="D98" s="455">
        <v>12</v>
      </c>
      <c r="E98" s="65">
        <v>1</v>
      </c>
      <c r="F98" s="65">
        <v>6</v>
      </c>
      <c r="G98" s="268"/>
      <c r="H98" s="268"/>
      <c r="I98" s="268"/>
      <c r="J98" s="274" t="str">
        <f>IF(E98=0,"",IF(D98&lt;8,"TL Violation",CHOOSE((F98+1),"5km","50km","500km","5,000km","50,000km","500,000km","1,000AU")))</f>
        <v>1,000AU</v>
      </c>
      <c r="K98" s="76">
        <f>IF(E98=0,0,VLOOKUP(F98,Tables!$D$160:$Z$166,(D98+1+1))*E98)*Tables!$F$24</f>
        <v>0.05</v>
      </c>
      <c r="L98" s="76">
        <f t="shared" si="0"/>
        <v>0.1</v>
      </c>
      <c r="M98" s="76">
        <f>E98*Tables!$F$25</f>
        <v>1</v>
      </c>
      <c r="N98" s="76">
        <f>CHOOSE((F98+1),0.000054,0.000107,0.000215,0.00043,0.000852,0.002019,0.003)*E98</f>
        <v>0.003</v>
      </c>
      <c r="O98" s="94">
        <f>CHOOSE((F98+1),0.001,0.005,0.012,0.022,0.037,0.071,0.18)*E98</f>
        <v>0.18</v>
      </c>
      <c r="P98" s="83"/>
      <c r="Q98" s="56"/>
    </row>
    <row r="99" spans="1:17" ht="12.75">
      <c r="A99" s="54"/>
      <c r="B99" s="47"/>
      <c r="C99" s="262" t="s">
        <v>981</v>
      </c>
      <c r="D99" s="455">
        <v>12</v>
      </c>
      <c r="E99" s="65">
        <v>0</v>
      </c>
      <c r="F99" s="65">
        <v>0</v>
      </c>
      <c r="G99" s="268"/>
      <c r="H99" s="268"/>
      <c r="I99" s="268"/>
      <c r="J99" s="274">
        <f>IF(E99=0,"",IF(D99&lt;8,"TL Violation",CHOOSE((F99+1),"5km","50km","500km","5,000km","50,000km","500,000km","1,000AU")))</f>
      </c>
      <c r="K99" s="76">
        <f>IF(E99=0,0,VLOOKUP(F99,Tables!$D$160:$Z$166,(D99+1+1))*E99)*Tables!$F$24</f>
        <v>0</v>
      </c>
      <c r="L99" s="76">
        <f t="shared" si="0"/>
        <v>0</v>
      </c>
      <c r="M99" s="76">
        <f>E99*Tables!$F$25</f>
        <v>0</v>
      </c>
      <c r="N99" s="84"/>
      <c r="O99" s="94">
        <f>CHOOSE((F99+1),0.001,0.005,0.012,0.022,0.037,0.071,0.18)*E99</f>
        <v>0</v>
      </c>
      <c r="P99" s="83"/>
      <c r="Q99" s="56"/>
    </row>
    <row r="100" spans="1:17" ht="12.75">
      <c r="A100" s="54"/>
      <c r="B100" s="47"/>
      <c r="C100" s="177" t="s">
        <v>982</v>
      </c>
      <c r="D100" s="455">
        <v>12</v>
      </c>
      <c r="E100" s="65">
        <v>0</v>
      </c>
      <c r="F100" s="65">
        <v>0</v>
      </c>
      <c r="G100" s="268"/>
      <c r="H100" s="268"/>
      <c r="I100" s="268"/>
      <c r="J100" s="274">
        <f>IF(E100=0,"",IF(D100&lt;15,"TL Violation",CHOOSE((F100+1),"500km","5,000km","50,000km","500,000km","1,000AU")))</f>
      </c>
      <c r="K100" s="76">
        <f>IF(E100=0,0,VLOOKUP(F100,Tables!$D$169:$Z$173,(D100+1+1))*E100)*Tables!$F$24</f>
        <v>0</v>
      </c>
      <c r="L100" s="76">
        <f t="shared" si="0"/>
        <v>0</v>
      </c>
      <c r="M100" s="76">
        <f>IF(E100=0,0,MAX(N100*10,1))*Tables!$F$25</f>
        <v>0</v>
      </c>
      <c r="N100" s="76">
        <f>CHOOSE((F100+1),0.06,0.26,1.15,4.48,5)*E100</f>
        <v>0</v>
      </c>
      <c r="O100" s="94">
        <f>CHOOSE((F100+1),0.31,1.11,2.69,6.85,20)*E100</f>
        <v>0</v>
      </c>
      <c r="P100" s="83"/>
      <c r="Q100" s="56"/>
    </row>
    <row r="101" spans="1:17" ht="12.75">
      <c r="A101" s="54"/>
      <c r="B101" s="47"/>
      <c r="C101" s="262" t="s">
        <v>983</v>
      </c>
      <c r="D101" s="455">
        <v>12</v>
      </c>
      <c r="E101" s="65">
        <v>0</v>
      </c>
      <c r="F101" s="65">
        <v>0</v>
      </c>
      <c r="G101" s="268"/>
      <c r="H101" s="268"/>
      <c r="I101" s="268"/>
      <c r="J101" s="274">
        <f>IF(E101=0,"",IF(D101&lt;15,"TL Violetion",CHOOSE((F101+1),"500km","5,000km","50,000km","500,000km","1,000AU")))</f>
      </c>
      <c r="K101" s="76">
        <f>IF(E101=0,0,VLOOKUP(F101,Tables!$D$169:$Z$173,(D101+1+1))*E101)*Tables!$F$24</f>
        <v>0</v>
      </c>
      <c r="L101" s="76">
        <f t="shared" si="0"/>
        <v>0</v>
      </c>
      <c r="M101" s="76">
        <f>IF(E101=0,0,MAX(N101*10,1))*Tables!$F$25</f>
        <v>0</v>
      </c>
      <c r="N101" s="84"/>
      <c r="O101" s="94">
        <f>CHOOSE((F101+1),0.31,1.11,2.69,6.85,20)*E101</f>
        <v>0</v>
      </c>
      <c r="P101" s="83"/>
      <c r="Q101" s="56"/>
    </row>
    <row r="102" spans="1:17" ht="12.75">
      <c r="A102" s="54"/>
      <c r="B102" s="47"/>
      <c r="C102" s="80" t="s">
        <v>984</v>
      </c>
      <c r="D102" s="271"/>
      <c r="E102" s="271"/>
      <c r="F102" s="71">
        <v>0</v>
      </c>
      <c r="G102" s="271"/>
      <c r="H102" s="271"/>
      <c r="I102" s="271"/>
      <c r="J102" s="272" t="str">
        <f>IF(F102=0,"None",CONCATENATE(ROUND(Tables!G48*100,2),"cm thick"))</f>
        <v>None</v>
      </c>
      <c r="K102" s="68">
        <f>Tables!F48*Tables!G48*Tables!F24</f>
        <v>0</v>
      </c>
      <c r="L102" s="68">
        <f>K102*Tables!$F$10</f>
        <v>0</v>
      </c>
      <c r="M102" s="70"/>
      <c r="N102" s="68">
        <f>0.001*K102*Tables!$F$12</f>
        <v>0</v>
      </c>
      <c r="O102" s="81">
        <f>Tables!$F$11*K102</f>
        <v>0</v>
      </c>
      <c r="P102" s="83"/>
      <c r="Q102" s="56"/>
    </row>
    <row r="103" spans="1:17" ht="12.75">
      <c r="A103" s="54"/>
      <c r="B103" s="47"/>
      <c r="C103" s="302" t="s">
        <v>252</v>
      </c>
      <c r="D103" s="35" t="s">
        <v>903</v>
      </c>
      <c r="E103" s="35" t="s">
        <v>904</v>
      </c>
      <c r="F103" s="35" t="s">
        <v>905</v>
      </c>
      <c r="G103" s="35" t="s">
        <v>906</v>
      </c>
      <c r="H103" s="35" t="s">
        <v>907</v>
      </c>
      <c r="I103" s="35" t="s">
        <v>908</v>
      </c>
      <c r="J103" s="35" t="s">
        <v>909</v>
      </c>
      <c r="K103" s="15" t="s">
        <v>910</v>
      </c>
      <c r="L103" s="15" t="s">
        <v>911</v>
      </c>
      <c r="M103" s="15" t="s">
        <v>912</v>
      </c>
      <c r="N103" s="15" t="s">
        <v>913</v>
      </c>
      <c r="O103" s="73" t="s">
        <v>914</v>
      </c>
      <c r="P103" s="83"/>
      <c r="Q103" s="56"/>
    </row>
    <row r="104" spans="1:17" ht="12.75">
      <c r="A104" s="54"/>
      <c r="B104" s="47"/>
      <c r="C104" s="177" t="s">
        <v>985</v>
      </c>
      <c r="D104" s="455">
        <v>12</v>
      </c>
      <c r="E104" s="65">
        <v>0</v>
      </c>
      <c r="F104" s="65">
        <v>0</v>
      </c>
      <c r="G104" s="65">
        <v>0</v>
      </c>
      <c r="H104" s="65">
        <v>0</v>
      </c>
      <c r="I104" s="268"/>
      <c r="J104" s="274" t="str">
        <f>IF(E104=0," ",CONCATENATE(CHOOSE((F104+1),"12.5 [1.6mkm]","13 [5mkm]","13.5 [16mkm]","14 [50mkm]","14.5 [160mkm]","15 [500mkm]","15.5 [1,600mkm]","16 [5,000mkm]"),IF(G104&gt;0," Sci",""),IF(H104&gt;0," Fld","")))</f>
        <v> </v>
      </c>
      <c r="K104" s="76">
        <f>IF(E104=0,0,CHOOSE((D104+1),0,0,0,0,0,0,0,0,4,4,2,2,1,1,1,1,1,1,1,1,1,1)*VLOOKUP(F104,Tables!$D$176:$Z$183,(D104+1+1)))*IF(G104&gt;0,1.2,1)*Tables!$F$24*E104</f>
        <v>0</v>
      </c>
      <c r="L104" s="76">
        <f aca="true" t="shared" si="1" ref="L104:L109">M104</f>
        <v>0</v>
      </c>
      <c r="M104" s="76">
        <f>IF(E104=0,0,VLOOKUP(F104,Tables!$D$176:$Z$183,(D104+1+1)))*Tables!$F$25*IF(H104&gt;0,0.1,1)*E104</f>
        <v>0</v>
      </c>
      <c r="N104" s="76">
        <f>IF(E104=0,0,IF(D104&lt;10,0.01,0.001)*VLOOKUP(F104,Tables!$D$176:$Z$183,(D104+1+1)))*E104</f>
        <v>0</v>
      </c>
      <c r="O104" s="94">
        <f>IF(E104=0,0,IF(D104&lt;10,4,5)*VLOOKUP(F104,Tables!$D$176:$Z$183,(D104+1+1))*IF(G104&gt;0,2,1))*E104</f>
        <v>0</v>
      </c>
      <c r="P104" s="83"/>
      <c r="Q104" s="56"/>
    </row>
    <row r="105" spans="1:17" ht="12.75">
      <c r="A105" s="54"/>
      <c r="B105" s="47"/>
      <c r="C105" s="262" t="s">
        <v>986</v>
      </c>
      <c r="D105" s="455">
        <v>12</v>
      </c>
      <c r="E105" s="65">
        <v>0</v>
      </c>
      <c r="F105" s="65">
        <v>0</v>
      </c>
      <c r="G105" s="65">
        <v>0</v>
      </c>
      <c r="H105" s="65">
        <v>0</v>
      </c>
      <c r="I105" s="268"/>
      <c r="J105" s="274" t="str">
        <f>IF(E105=0," ",CONCATENATE(CHOOSE((F105+1),"12.5 [1.6mkm]","13 [5mkm]","13.5 [16mkm]","14 [50mkm]","14.5 [160mkm]","15 [500mkm]","15.5 [1,600mkm]","16 [5,000mkm]"),IF(G105&gt;0," Sci",""),IF(H105&gt;0," Fld","")))</f>
        <v> </v>
      </c>
      <c r="K105" s="76">
        <f>IF(E105=0,0,CHOOSE((D105+1),0,0,0,0,0,0,0,0,4,4,2,2,1,1,1,1,1,1,1,1,1,1)*VLOOKUP(F105,Tables!$D$176:$Z$183,(D105+1+1)))*IF(G105&gt;0,1.2,1)*Tables!$F$24*E105</f>
        <v>0</v>
      </c>
      <c r="L105" s="76">
        <f t="shared" si="1"/>
        <v>0</v>
      </c>
      <c r="M105" s="76">
        <f>IF(E105=0,0,VLOOKUP(F105,Tables!$D$176:$Z$183,(D105+1+1)))*Tables!$F$25*IF(H105&gt;0,0.1,1)*E105</f>
        <v>0</v>
      </c>
      <c r="N105" s="84"/>
      <c r="O105" s="94">
        <f>IF(E106=0,0,IF(D105&lt;10,4,5)*VLOOKUP(F105,Tables!$D$176:$Z$183,(D105+1+1))*IF(G105&gt;0,2,1))*E105</f>
        <v>0</v>
      </c>
      <c r="P105" s="83"/>
      <c r="Q105" s="56"/>
    </row>
    <row r="106" spans="1:17" ht="12.75">
      <c r="A106" s="54"/>
      <c r="B106" s="47"/>
      <c r="C106" s="177" t="s">
        <v>987</v>
      </c>
      <c r="D106" s="455">
        <v>12</v>
      </c>
      <c r="E106" s="65">
        <v>0</v>
      </c>
      <c r="F106" s="65">
        <v>0</v>
      </c>
      <c r="G106" s="65">
        <v>0</v>
      </c>
      <c r="H106" s="65">
        <v>0</v>
      </c>
      <c r="I106" s="268"/>
      <c r="J106" s="274" t="str">
        <f>IF(E106=0," ",CONCATENATE(CHOOSE((F106+1),"12.5 [1.6mkm]","13 [5mkm]","13.5 [16mkm]","14 [50mkm]","14.5 [160mkm]","15 [500mkm]","15.5 [1,600mkm]","16 [5,000mkm]"),IF(G106&gt;0," Sci",""),IF(H106&gt;0," Fld","")))</f>
        <v> </v>
      </c>
      <c r="K106" s="76">
        <f>IF(E106=0,0,CHOOSE((D106+1),0,0,0,0,0,0,0,0,4,4,2,2,1,1,1,1,1,1,1,1,1,1)*VLOOKUP(F106,Tables!$D$186:$Z$193,(D106+1+1)))*IF(G106&gt;0,1.2,1)*Tables!$F$24*E106</f>
        <v>0</v>
      </c>
      <c r="L106" s="76">
        <f t="shared" si="1"/>
        <v>0</v>
      </c>
      <c r="M106" s="76">
        <f>IF(E106=0,0,VLOOKUP(F106,Tables!$D$186:$Z$193,(D106+1+1)))*Tables!$F$25*IF(H106&gt;0,0.1,1)*E106</f>
        <v>0</v>
      </c>
      <c r="N106" s="76">
        <f>IF(E106=0,0,IF(D106&lt;10,0.01,0.001)*VLOOKUP(F106,Tables!$D$186:$Z$193,(D106+1+1)))*E106</f>
        <v>0</v>
      </c>
      <c r="O106" s="94">
        <f>IF(E106=0,0,IF(D106&lt;10,4,5)*VLOOKUP(F106,Tables!$D$186:$Z$193,(D106+1+1))*IF(G106&gt;0,2,1))*E106</f>
        <v>0</v>
      </c>
      <c r="P106" s="83"/>
      <c r="Q106" s="56"/>
    </row>
    <row r="107" spans="1:17" ht="12.75">
      <c r="A107" s="54"/>
      <c r="B107" s="47"/>
      <c r="C107" s="262" t="s">
        <v>988</v>
      </c>
      <c r="D107" s="455">
        <v>12</v>
      </c>
      <c r="E107" s="65">
        <v>0</v>
      </c>
      <c r="F107" s="65">
        <v>0</v>
      </c>
      <c r="G107" s="65">
        <v>0</v>
      </c>
      <c r="H107" s="65">
        <v>0</v>
      </c>
      <c r="I107" s="268"/>
      <c r="J107" s="274" t="str">
        <f>IF(E107=0," ",CONCATENATE(CHOOSE((F107+1),"12.5 [1.6mkm]","13 [5mkm]","13.5 [16mkm]","14 [50mkm]","14.5 [160mkm]","15 [500mkm]","15.5 [1,600mkm]","16 [5,000mkm]"),IF(G107&gt;0," Sci",""),IF(H107&gt;0," Fld","")))</f>
        <v> </v>
      </c>
      <c r="K107" s="76">
        <f>IF(E107=0,0,CHOOSE((D107+1),0,0,0,0,0,0,0,0,4,4,2,2,1,1,1,1,1,1,1,1,1,1)*VLOOKUP(F107,Tables!$D$186:$Z$193,(D107+1+1))*IF(G107&gt;0,1.2,1)*Tables!$F$24*E107)</f>
        <v>0</v>
      </c>
      <c r="L107" s="76">
        <f t="shared" si="1"/>
        <v>0</v>
      </c>
      <c r="M107" s="76">
        <f>IF(E107=0,0,VLOOKUP(F107,Tables!$D$186:$Z$193,(D107+1+1)))*Tables!$F$25*IF(H107&gt;0,0.1,1)*E107</f>
        <v>0</v>
      </c>
      <c r="N107" s="84"/>
      <c r="O107" s="94">
        <f>IF(E107=0,0,IF(D107&lt;10,4,5)*VLOOKUP(F107,Tables!$D$186:$Z$193,(D107+1+1))*IF(G107&gt;0,2,1))*E107</f>
        <v>0</v>
      </c>
      <c r="P107" s="83"/>
      <c r="Q107" s="56"/>
    </row>
    <row r="108" spans="1:17" ht="12.75">
      <c r="A108" s="54"/>
      <c r="B108" s="47"/>
      <c r="C108" s="177" t="s">
        <v>989</v>
      </c>
      <c r="D108" s="455">
        <v>12</v>
      </c>
      <c r="E108" s="65">
        <v>1</v>
      </c>
      <c r="F108" s="65">
        <v>0</v>
      </c>
      <c r="G108" s="65">
        <v>0</v>
      </c>
      <c r="H108" s="65">
        <v>0</v>
      </c>
      <c r="I108" s="268"/>
      <c r="J108" s="274" t="str">
        <f>IF(ISERR(K108),"TL Violation",IF(E108=0," ",CONCATENATE(CHOOSE((F108+1),"12.5 [1.6mkm]","13 [5mkm]","13.5 [16mkm]","14 [50mkm]","14.5 [160mkm]","15 [500mkm]","15.5 [1,600mkm]","16 [5,000mkm]"),IF(G108&gt;0," Sci",""),IF(H108&gt;0," Fld",""))))</f>
        <v>12.5 [1.6mkm]</v>
      </c>
      <c r="K108" s="76">
        <f>IF(E108=0,0,CHOOSE((D108+1),0,0,0,0,0,0,0,0,4,4,2,2,1,1,1,1,1,1,1,1,1,1)*VLOOKUP(F108,Tables!$D$196:$Z$203,(D108+1+1))*IF(G108&gt;0,1.2,1)*Tables!$F$24*E108)</f>
        <v>0.1</v>
      </c>
      <c r="L108" s="76">
        <f t="shared" si="1"/>
        <v>0.1</v>
      </c>
      <c r="M108" s="76">
        <f>IF(E108=0,0,VLOOKUP(F108,Tables!$D$196:$Z$203,(D108+1+1)))*Tables!$F$25*IF(H108&gt;0,0.1,1)*E108</f>
        <v>0.1</v>
      </c>
      <c r="N108" s="76">
        <f>IF(E108=0,0,IF(D108&lt;10,0.01,0.001)*VLOOKUP(F108,Tables!$D$196:$Z$203,(D108+1+1)))*E108</f>
        <v>0.0001</v>
      </c>
      <c r="O108" s="94">
        <f>IF(E108=0,0,IF(D108&lt;10,4,5)*VLOOKUP(F108,Tables!$D$196:$Z$203,(D108+1+1))*IF(G108&gt;0,2,1))*E108</f>
        <v>0.5</v>
      </c>
      <c r="P108" s="83"/>
      <c r="Q108" s="56"/>
    </row>
    <row r="109" spans="1:17" ht="12.75">
      <c r="A109" s="54"/>
      <c r="B109" s="47"/>
      <c r="C109" s="262" t="s">
        <v>990</v>
      </c>
      <c r="D109" s="455">
        <v>12</v>
      </c>
      <c r="E109" s="65">
        <v>0</v>
      </c>
      <c r="F109" s="65">
        <v>0</v>
      </c>
      <c r="G109" s="65">
        <v>0</v>
      </c>
      <c r="H109" s="65">
        <v>0</v>
      </c>
      <c r="I109" s="268"/>
      <c r="J109" s="274" t="str">
        <f>IF(ISERR(K109),"TL Violation",IF(E109=0," ",CONCATENATE(CHOOSE((F109+1),"12.5 [1.6mkm]","13 [5mkm]","13.5 [16mkm]","14 [50mkm]","14.5 [160mkm]","15 [500mkm]","15.5 [1,600mkm]","16 [5,000mkm]"),IF(G109&gt;0," Sci",""),IF(H109&gt;0," Fld",""))))</f>
        <v> </v>
      </c>
      <c r="K109" s="76">
        <f>IF(E109=0,0,CHOOSE((D109+1),0,0,0,0,0,0,0,0,4,4,2,2,1,1,1,1,1,1,1,1,1,1)*VLOOKUP(F109,Tables!$D$196:$Z$203,(D109+1+1)))*IF(G109&gt;0,1.2,1)*Tables!$F$24*E109</f>
        <v>0</v>
      </c>
      <c r="L109" s="76">
        <f t="shared" si="1"/>
        <v>0</v>
      </c>
      <c r="M109" s="76">
        <f>IF(E109=0,0,VLOOKUP(F109,Tables!$D$196:$Z$203,(D109+1+1)))*Tables!$F$25*IF(H109&gt;0,0.1,1)*E109</f>
        <v>0</v>
      </c>
      <c r="N109" s="84"/>
      <c r="O109" s="94">
        <f>IF(E109=0,0,IF(D109&lt;10,4,5)*VLOOKUP(F109,Tables!$D$196:$Z$203,(D109+1+1))*IF(G109&gt;0,2,1))*E109</f>
        <v>0</v>
      </c>
      <c r="P109" s="83"/>
      <c r="Q109" s="56"/>
    </row>
    <row r="110" spans="1:17" ht="12.75">
      <c r="A110" s="54"/>
      <c r="B110" s="47"/>
      <c r="C110" s="177" t="s">
        <v>991</v>
      </c>
      <c r="D110" s="455">
        <v>12</v>
      </c>
      <c r="E110" s="65">
        <v>1</v>
      </c>
      <c r="F110" s="65">
        <v>4</v>
      </c>
      <c r="G110" s="65">
        <v>0</v>
      </c>
      <c r="H110" s="65">
        <v>0</v>
      </c>
      <c r="I110" s="65">
        <v>1</v>
      </c>
      <c r="J110" s="274" t="str">
        <f>IF(I110&lt;0.5,"Power too low",IF(I110&gt;1.5,"Power too high",IF(E110=0," ",CONCATENATE(CHOOSE((F110+1),"4","5","6","7","8","9","10","11 [.16mkm]","11.5 [.5mkm]","12 [1.6mkm]","12.5 [5mkm]","13 [16mkm]","13.5 [50mkm]","14 [160mkm]","14.5 [500mkm]"),IF(G110&gt;0," Sci",""),IF(H110&gt;0," Fld",""),IF(I110&gt;1," HP",""),IF(I110&lt;1," LP","")))))</f>
        <v>8</v>
      </c>
      <c r="K110" s="76">
        <f>IF(E110=0,0,VLOOKUP(F110,Tables!$D$206:$Z$220,(D110+1+1))*5)*IF(G110&gt;0,1.2,1)*Tables!$F$24*E110</f>
        <v>0.15</v>
      </c>
      <c r="L110" s="76">
        <f aca="true" t="shared" si="2" ref="L110:L119">K110*2</f>
        <v>0.3</v>
      </c>
      <c r="M110" s="76">
        <f>(IF(E110=0,0,VLOOKUP(F110,Tables!$D$206:$Z$220,(D110+1+1)))*Tables!$F$25*IF(H110&gt;0,0.1,1)*E110)/I110</f>
        <v>0.03</v>
      </c>
      <c r="N110" s="76">
        <f>(IF(E110=0,0,IF(D110&lt;9,0.5,1)*VLOOKUP(F110,Tables!$D$206:$Z$220,(D106+1+1)))*E110)*I110</f>
        <v>0.03</v>
      </c>
      <c r="O110" s="94">
        <f>IF(E110=0,0,2)*VLOOKUP(F110,Tables!$D$206:$Z$220,(D110+1+1))*IF(G110&gt;0,2,1)*E110</f>
        <v>0.06</v>
      </c>
      <c r="P110" s="83"/>
      <c r="Q110" s="56"/>
    </row>
    <row r="111" spans="1:17" ht="12.75">
      <c r="A111" s="54"/>
      <c r="B111" s="47"/>
      <c r="C111" s="262" t="s">
        <v>992</v>
      </c>
      <c r="D111" s="455">
        <v>12</v>
      </c>
      <c r="E111" s="65">
        <v>0</v>
      </c>
      <c r="F111" s="65">
        <v>0</v>
      </c>
      <c r="G111" s="65">
        <v>0</v>
      </c>
      <c r="H111" s="65">
        <v>0</v>
      </c>
      <c r="I111" s="65">
        <v>1</v>
      </c>
      <c r="J111" s="274" t="str">
        <f>IF(I111&lt;0.5,"Power too low",IF(I111&gt;1.5,"Power too high",IF(E111=0," ",CONCATENATE(CHOOSE((F111+1),"4","5","6","7","8","9","10","11 [.16mkm]","11.5 [.5mkm]","12 [1.6mkm]","12.5 [5mkm]","13 [16mkm]","13.5 [50mkm]","14 [160mkm]","14.5 [500mkm]"),IF(G111&gt;0," Sci",""),IF(H111&gt;0," Fld",""),IF(I111&gt;1," HP",""),IF(I111&lt;1," LP","")))))</f>
        <v> </v>
      </c>
      <c r="K111" s="76">
        <f>IF(E111=0,0,VLOOKUP(F111,Tables!$D$206:$Z$220,(D111+1+1))*5)*IF(G111&gt;0,1.2,1)*Tables!$F$24*E111</f>
        <v>0</v>
      </c>
      <c r="L111" s="76">
        <f t="shared" si="2"/>
        <v>0</v>
      </c>
      <c r="M111" s="76">
        <f>(IF(E111=0,0,VLOOKUP(F111,Tables!$D$206:$Z$220,(D111+1+1)))*Tables!$F$25*IF(H111&gt;0,0.1,1)*E111)/I111</f>
        <v>0</v>
      </c>
      <c r="N111" s="84"/>
      <c r="O111" s="94">
        <f>IF(E111=0,0,2)*VLOOKUP(F111,Tables!$D$206:$Z$220,(D111+1+1))*IF(G111&gt;0,2,1)*E111</f>
        <v>0</v>
      </c>
      <c r="P111" s="83"/>
      <c r="Q111" s="56"/>
    </row>
    <row r="112" spans="1:17" ht="12.75">
      <c r="A112" s="54"/>
      <c r="B112" s="47"/>
      <c r="C112" s="177" t="s">
        <v>847</v>
      </c>
      <c r="D112" s="455">
        <v>12</v>
      </c>
      <c r="E112" s="65">
        <v>0</v>
      </c>
      <c r="F112" s="65">
        <v>0</v>
      </c>
      <c r="G112" s="65">
        <v>0</v>
      </c>
      <c r="H112" s="65">
        <v>0</v>
      </c>
      <c r="I112" s="268"/>
      <c r="J112" s="274" t="str">
        <f>IF(E112=0," ",CONCATENATE(CHOOSE((F112+1),"13.5 [50kkm]","14 [200kkm]","14.5 [500kkm]","15 [2mkm]","15.5 [5mkm]"),IF(G112&gt;0," Sci",""),IF(H112&gt;0," Fld","")))</f>
        <v> </v>
      </c>
      <c r="K112" s="76">
        <f>IF(E112=0,0,VLOOKUP(F112,Tables!$D$223:$Z$227,(D112+1+1))*5)*IF(G112&gt;0,1.2,1)*Tables!$F$24*E112</f>
        <v>0</v>
      </c>
      <c r="L112" s="76">
        <f t="shared" si="2"/>
        <v>0</v>
      </c>
      <c r="M112" s="76">
        <f>IF(E112=0,0,VLOOKUP(F112,Tables!$D$223:$Z$227,(D112+1+1)))*Tables!$F$25*IF(H112&gt;0,0.1,1)*E112</f>
        <v>0</v>
      </c>
      <c r="N112" s="76">
        <f>IF(E112=0,0,VLOOKUP(F112,Tables!$D$223:$Z$227,(D108+1+1)))*E112</f>
        <v>0</v>
      </c>
      <c r="O112" s="94">
        <f>IF(E112=0,0,5)*VLOOKUP(F112,Tables!$D$223:$Z$227,(D112+1+1))*IF(G112&gt;0,2,1)*E112</f>
        <v>0</v>
      </c>
      <c r="P112" s="83"/>
      <c r="Q112" s="56"/>
    </row>
    <row r="113" spans="1:17" ht="12.75">
      <c r="A113" s="54"/>
      <c r="B113" s="47"/>
      <c r="C113" s="262" t="s">
        <v>993</v>
      </c>
      <c r="D113" s="455">
        <v>12</v>
      </c>
      <c r="E113" s="65">
        <v>0</v>
      </c>
      <c r="F113" s="65">
        <v>0</v>
      </c>
      <c r="G113" s="65">
        <v>0</v>
      </c>
      <c r="H113" s="65">
        <v>0</v>
      </c>
      <c r="I113" s="268"/>
      <c r="J113" s="274" t="str">
        <f>IF(E113=0," ",CONCATENATE(CHOOSE((F113+1),"13.5 [50kkm]","14 [200kkm]","14.5 [500kkm]","15 [2mkm]","15.5 [5mkm]"),IF(G113&gt;0," Sci",""),IF(H113&gt;0," Fld","")))</f>
        <v> </v>
      </c>
      <c r="K113" s="76">
        <f>IF(E113=0,0,VLOOKUP(F113,Tables!$D$223:$Z$227,(D113+1+1))*5)*IF(G113&gt;0,1.2,1)*Tables!$F$24*E113</f>
        <v>0</v>
      </c>
      <c r="L113" s="76">
        <f t="shared" si="2"/>
        <v>0</v>
      </c>
      <c r="M113" s="76">
        <f>IF(E113=0,0,VLOOKUP(F113,Tables!$D$223:$Z$227,(D113+1+1)))*Tables!$F$25*IF(H113&gt;0,0.1,1)*E113</f>
        <v>0</v>
      </c>
      <c r="N113" s="84"/>
      <c r="O113" s="94">
        <f>IF(E113=0,0,5)*VLOOKUP(F113,Tables!$D$223:$Z$227,(D113+1+1))*IF(G113&gt;0,2,1)*E113</f>
        <v>0</v>
      </c>
      <c r="P113" s="83"/>
      <c r="Q113" s="56"/>
    </row>
    <row r="114" spans="1:17" ht="12.75">
      <c r="A114" s="54"/>
      <c r="B114" s="47"/>
      <c r="C114" s="177" t="s">
        <v>852</v>
      </c>
      <c r="D114" s="455">
        <v>12</v>
      </c>
      <c r="E114" s="65">
        <v>0</v>
      </c>
      <c r="F114" s="65">
        <v>0</v>
      </c>
      <c r="G114" s="65">
        <v>0</v>
      </c>
      <c r="H114" s="65">
        <v>0</v>
      </c>
      <c r="I114" s="268"/>
      <c r="J114" s="274" t="str">
        <f>IF(E114=0," ",IF(D114&lt;12,"TL Violation",CONCATENATE(CHOOSE((F114+1),"7 [5km]","7.5 [16km]","8 [50km]","8.5 [160km]","9 [500km]","9.5 [1600km]","10 [5000km]"),IF(G114&gt;0," Sci",""),IF(H114&gt;0," Fld",""))))</f>
        <v> </v>
      </c>
      <c r="K114" s="76">
        <f>IF(E114=0,0,IF(D114&lt;14,CHOOSE((F114+1),0.5,5,100,5000,500000,#VALUE!),CHOOSE((F114+1),0.01,0.05,0.5,5,100,2000,200000))*E114)*Tables!$F$24</f>
        <v>0</v>
      </c>
      <c r="L114" s="76">
        <f t="shared" si="2"/>
        <v>0</v>
      </c>
      <c r="M114" s="76">
        <f>K114*0.5*Tables!$F$25*IF(H114&gt;0,0.1,1)</f>
        <v>0</v>
      </c>
      <c r="N114" s="76">
        <f>K114*0.01</f>
        <v>0</v>
      </c>
      <c r="O114" s="94">
        <f>K114*8</f>
        <v>0</v>
      </c>
      <c r="P114" s="83"/>
      <c r="Q114" s="56"/>
    </row>
    <row r="115" spans="1:17" ht="12.75">
      <c r="A115" s="54"/>
      <c r="B115" s="47"/>
      <c r="C115" s="262" t="s">
        <v>994</v>
      </c>
      <c r="D115" s="455">
        <v>12</v>
      </c>
      <c r="E115" s="65">
        <v>0</v>
      </c>
      <c r="F115" s="65">
        <v>0</v>
      </c>
      <c r="G115" s="65">
        <v>0</v>
      </c>
      <c r="H115" s="65">
        <v>0</v>
      </c>
      <c r="I115" s="268"/>
      <c r="J115" s="274" t="str">
        <f>IF(E115=0," ",IF(D115&lt;12,"TL Violation",CONCATENATE(CHOOSE((F115+1),"7 [5km]","7.5 [16km]","8 [50km]","8.5 [160km]","9 [500km]","9.5 [1600km]","10 [5000km]"),IF(G115&gt;0," Sci",""),IF(H115&gt;0," Fld",""))))</f>
        <v> </v>
      </c>
      <c r="K115" s="76">
        <f>IF(E115=0,0,IF(D115&lt;14,CHOOSE((F115+1),#VALUE!,0.5,5,100,5000,500000,#VALUE!),CHOOSE((F115+1),0.01,0.05,0.5,5,100,2000,200000))*E115)*Tables!$F$24</f>
        <v>0</v>
      </c>
      <c r="L115" s="76">
        <f t="shared" si="2"/>
        <v>0</v>
      </c>
      <c r="M115" s="76">
        <f>K115*0.5*Tables!$F$25*IF(H115&gt;0,0.1,1)</f>
        <v>0</v>
      </c>
      <c r="N115" s="84"/>
      <c r="O115" s="94">
        <f>K115*8</f>
        <v>0</v>
      </c>
      <c r="P115" s="83"/>
      <c r="Q115" s="56"/>
    </row>
    <row r="116" spans="1:17" ht="12.75">
      <c r="A116" s="54"/>
      <c r="B116" s="47"/>
      <c r="C116" s="177" t="s">
        <v>995</v>
      </c>
      <c r="D116" s="455">
        <v>12</v>
      </c>
      <c r="E116" s="65">
        <v>0</v>
      </c>
      <c r="F116" s="65">
        <v>0</v>
      </c>
      <c r="G116" s="65">
        <v>0</v>
      </c>
      <c r="H116" s="268"/>
      <c r="I116" s="268"/>
      <c r="J116" s="274" t="str">
        <f>IF(E116=0," ",IF(D116&lt;12,"TL Violation",CONCATENATE(CHOOSE((F116+1),"8 [50km]","8.5 [160km]","9 [500km]","9.5 [1600km]"),IF(G116&gt;0," Sci",""))))</f>
        <v> </v>
      </c>
      <c r="K116" s="76">
        <f>IF(E116=0,0,IF(D116&lt;14,CHOOSE((F116+1),10,50,500,50000),CHOOSE((F116+1),5,20,200,20000))*E116)</f>
        <v>0</v>
      </c>
      <c r="L116" s="76">
        <f t="shared" si="2"/>
        <v>0</v>
      </c>
      <c r="M116" s="84"/>
      <c r="N116" s="76">
        <f>K116*0.1</f>
        <v>0</v>
      </c>
      <c r="O116" s="94">
        <f>K116*5</f>
        <v>0</v>
      </c>
      <c r="P116" s="83"/>
      <c r="Q116" s="56"/>
    </row>
    <row r="117" spans="1:17" ht="12.75">
      <c r="A117" s="54"/>
      <c r="B117" s="47"/>
      <c r="C117" s="262" t="s">
        <v>996</v>
      </c>
      <c r="D117" s="455">
        <v>12</v>
      </c>
      <c r="E117" s="65">
        <v>0</v>
      </c>
      <c r="F117" s="65">
        <v>0</v>
      </c>
      <c r="G117" s="65">
        <v>0</v>
      </c>
      <c r="H117" s="268"/>
      <c r="I117" s="268"/>
      <c r="J117" s="274" t="str">
        <f>IF(E117=0," ",IF(D117&lt;12,"TL Violation",CONCATENATE(CHOOSE((F117+1),"8 [50km]","8.5 [160km]","9 [500km]","9.5 [1600km]"),IF(G117&gt;0," Sci",""))))</f>
        <v> </v>
      </c>
      <c r="K117" s="76">
        <f>IF(E117=0,0,IF(D117&lt;14,CHOOSE((F117+1),10,50,500,50000),CHOOSE((F117+1),5,20,200,20000))*E117)</f>
        <v>0</v>
      </c>
      <c r="L117" s="76">
        <f t="shared" si="2"/>
        <v>0</v>
      </c>
      <c r="M117" s="84"/>
      <c r="N117" s="84"/>
      <c r="O117" s="94">
        <f>K117*5</f>
        <v>0</v>
      </c>
      <c r="P117" s="83"/>
      <c r="Q117" s="56"/>
    </row>
    <row r="118" spans="1:17" ht="12.75">
      <c r="A118" s="54"/>
      <c r="B118" s="47"/>
      <c r="C118" s="177" t="s">
        <v>997</v>
      </c>
      <c r="D118" s="455">
        <v>12</v>
      </c>
      <c r="E118" s="65">
        <v>0</v>
      </c>
      <c r="F118" s="65">
        <v>0</v>
      </c>
      <c r="G118" s="65">
        <v>0</v>
      </c>
      <c r="H118" s="65">
        <v>0</v>
      </c>
      <c r="I118" s="268"/>
      <c r="J118" s="274" t="str">
        <f>IF(E118=0," ",CONCATENATE(IF(F118=0,CHOOSE((D118+1),"TL Violation","TL Violation","TL Violation","TL Violation","TL Violation","TL Violation","TL Violation","TL Violation","TL Violation","TL Violation","TL Violation","TL Violation","TL Violation","0.01km","0.05km","0.1km","0.1km","0.1km","0.1km","0.1km","0.1km","0.1lm"),CHOOSE((D118+1),"TL Violation","TL Violation","TL Violation","TL Violation","TL Violation","TL Violation","TL Violation","TL Violation","TL Violation","TL Violation","TL Violation","TL Violation","TL Violation","0.1km","0.2km","0.4km","0.4km","0.4km","0.4km","0.4km","0.4km","0.4lm")),IF(G118&gt;0," Sci","")))</f>
        <v> </v>
      </c>
      <c r="K118" s="76">
        <f>IF($E118=0,0,IF($D118&lt;13,#VALUE!,IF($F118=0,0.002,50)))*$E118</f>
        <v>0</v>
      </c>
      <c r="L118" s="76">
        <f t="shared" si="2"/>
        <v>0</v>
      </c>
      <c r="M118" s="76">
        <f>N118*10*IF(H104&gt;0,0.1,1)</f>
        <v>0</v>
      </c>
      <c r="N118" s="76">
        <f>IF(E118=0,0,CHOOSE((D118+1),0,0,0,0,0,0,0,0,0,0,0,0,0,0,IF(F118=0,0.004,40),IF(F118=0,0.005,50),IF(F118=0,0.006,60),IF(F118=0,0.006,60),IF(F118=0,0.006,60),IF(F118=0,0.006,60),IF(F118=0,0.006,60),IF(F118=0,0.006,60)))</f>
        <v>0</v>
      </c>
      <c r="O118" s="111">
        <f>IF($E118=0,0,IF($D118&lt;13,#VALUE!,IF($F118=0,0.02,20)))*$E118</f>
        <v>0</v>
      </c>
      <c r="P118" s="83"/>
      <c r="Q118" s="56"/>
    </row>
    <row r="119" spans="1:17" ht="12.75">
      <c r="A119" s="54"/>
      <c r="B119" s="47"/>
      <c r="C119" s="262" t="s">
        <v>998</v>
      </c>
      <c r="D119" s="455">
        <v>12</v>
      </c>
      <c r="E119" s="65">
        <v>0</v>
      </c>
      <c r="F119" s="65">
        <v>0</v>
      </c>
      <c r="G119" s="65">
        <v>0</v>
      </c>
      <c r="H119" s="65">
        <v>0</v>
      </c>
      <c r="I119" s="268"/>
      <c r="J119" s="274" t="str">
        <f>IF(E119=0," ",CONCATENATE(IF(F119=0,CHOOSE((((D119+1)-1)+1),"TL Violation","TL Violation","TL Violation","TL Violation","TL Violation","TL Violation","TL Violation","TL Violation","TL Violation","TL Violation","TL Violation","TL Violation","TL Violation","0.01km","0.05km","0.1km","0.1km","0.1km","0.1km","0.1km","0.1km","0.1lm"),CHOOSE((((D119+1)-1)+1),"TL Violation","TL Violation","TL Violation","TL Violation","TL Violation","TL Violation","TL Violation","TL Violation","TL Violation","TL Violation","TL Violation","TL Violation","TL Violation","0.1km","0.2km","0.4km","0.4km","0.4km","0.4km","0.4km","0.4km","0.4lm")),IF(G119&gt;0," Sci","")))</f>
        <v> </v>
      </c>
      <c r="K119" s="76">
        <f>IF($E119=0,0,IF($D119&lt;13,#VALUE!,IF($F119=0,0.002,50)))*$E119</f>
        <v>0</v>
      </c>
      <c r="L119" s="76">
        <f t="shared" si="2"/>
        <v>0</v>
      </c>
      <c r="M119" s="76">
        <f>10*IF(E119=0,0,CHOOSE((D118+1),0,0,0,0,0,0,0,0,0,0,0,0,0,0,IF(F119=0,0.004,40),IF(F119=0,0.005,50),IF(F119=0,0.006,60),IF(F119=0,0.006,60),IF(F119=0,0.006,60),IF(F119=0,0.006,60),IF(F119=0,0.006,60),IF(F119=0,0.006,60)))*IF(H104&gt;0,0.1,1)</f>
        <v>0</v>
      </c>
      <c r="N119" s="84"/>
      <c r="O119" s="111">
        <f>IF($E119=0,0,IF($D119&lt;13,Infinity,IF($F119=0,0.02,20)))*$E119</f>
        <v>0</v>
      </c>
      <c r="P119" s="83"/>
      <c r="Q119" s="56"/>
    </row>
    <row r="120" spans="1:17" ht="12.75">
      <c r="A120" s="54"/>
      <c r="B120" s="47"/>
      <c r="C120" s="80" t="s">
        <v>999</v>
      </c>
      <c r="D120" s="271"/>
      <c r="E120" s="271"/>
      <c r="F120" s="71">
        <v>0</v>
      </c>
      <c r="G120" s="271"/>
      <c r="H120" s="271"/>
      <c r="I120" s="271"/>
      <c r="J120" s="272" t="str">
        <f>IF(F120=0,"None",CONCATENATE(ROUND(Tables!G50*100,2),"cm thick"))</f>
        <v>None</v>
      </c>
      <c r="K120" s="68">
        <f>Tables!F50*Tables!G50*Tables!F24</f>
        <v>0</v>
      </c>
      <c r="L120" s="68">
        <f>K120*Tables!$F$10</f>
        <v>0</v>
      </c>
      <c r="M120" s="70"/>
      <c r="N120" s="68">
        <f>0.001*K120*Tables!$F$12</f>
        <v>0</v>
      </c>
      <c r="O120" s="81">
        <f>Tables!$F$11*K120</f>
        <v>0</v>
      </c>
      <c r="P120" s="83"/>
      <c r="Q120" s="56"/>
    </row>
    <row r="121" spans="1:17" ht="12.75">
      <c r="A121" s="54"/>
      <c r="B121" s="47"/>
      <c r="C121" s="302" t="s">
        <v>760</v>
      </c>
      <c r="D121" s="35" t="s">
        <v>903</v>
      </c>
      <c r="E121" s="35" t="s">
        <v>904</v>
      </c>
      <c r="F121" s="35" t="s">
        <v>905</v>
      </c>
      <c r="G121" s="35" t="s">
        <v>906</v>
      </c>
      <c r="H121" s="35" t="s">
        <v>907</v>
      </c>
      <c r="I121" s="35" t="s">
        <v>908</v>
      </c>
      <c r="J121" s="35" t="s">
        <v>909</v>
      </c>
      <c r="K121" s="15" t="s">
        <v>910</v>
      </c>
      <c r="L121" s="15" t="s">
        <v>911</v>
      </c>
      <c r="M121" s="15" t="s">
        <v>912</v>
      </c>
      <c r="N121" s="15" t="s">
        <v>913</v>
      </c>
      <c r="O121" s="73" t="s">
        <v>914</v>
      </c>
      <c r="P121" s="83"/>
      <c r="Q121" s="56"/>
    </row>
    <row r="122" spans="1:17" ht="12.75">
      <c r="A122" s="54"/>
      <c r="B122" s="47"/>
      <c r="C122" s="177" t="s">
        <v>1000</v>
      </c>
      <c r="D122" s="455">
        <v>12</v>
      </c>
      <c r="E122" s="65">
        <v>0</v>
      </c>
      <c r="F122" s="65">
        <v>0</v>
      </c>
      <c r="G122" s="268"/>
      <c r="H122" s="268"/>
      <c r="I122" s="268"/>
      <c r="J122" s="274">
        <f>IF(E122=0,"",IF(D122&lt;5,"TL Violation",CHOOSE((F122+1),"5km","50km","500km","5,000km","50,000km","500,000km","1,000AU")))</f>
      </c>
      <c r="K122" s="76">
        <f>IF(E122=0,0,VLOOKUP(F122,Tables!$D$151:$Z$157,(D122+1+1))*E122)*Tables!$F$24</f>
        <v>0</v>
      </c>
      <c r="L122" s="76">
        <f aca="true" t="shared" si="3" ref="L122:L129">K122*2</f>
        <v>0</v>
      </c>
      <c r="M122" s="76">
        <f>N122*1000/20*Tables!$F$25</f>
        <v>0</v>
      </c>
      <c r="N122" s="76">
        <f>CHOOSE((F122+1),0.000002,0.000017,0.000167,0.001667,0.016667,0.166667,0.2)*E122*2</f>
        <v>0</v>
      </c>
      <c r="O122" s="94">
        <f>CHOOSE((F122+1),0.000088,0.000269,0.000833,0.006852,0.034444,0.134444,0.15)*IF(D122&lt;6,3,IF(D122&lt;7,2,1))*E122*2</f>
        <v>0</v>
      </c>
      <c r="P122" s="83"/>
      <c r="Q122" s="56"/>
    </row>
    <row r="123" spans="1:17" ht="12.75">
      <c r="A123" s="54"/>
      <c r="B123" s="49"/>
      <c r="C123" s="262" t="s">
        <v>1001</v>
      </c>
      <c r="D123" s="455">
        <v>12</v>
      </c>
      <c r="E123" s="65">
        <v>0</v>
      </c>
      <c r="F123" s="65">
        <v>0</v>
      </c>
      <c r="G123" s="268"/>
      <c r="H123" s="268"/>
      <c r="I123" s="268"/>
      <c r="J123" s="274">
        <f>IF(E123=0,"",IF(D123&lt;5,"TL Violation",CHOOSE((F123+1),"5km","50km","500km","5,000km","50,000km","500,000km","1,000AU")))</f>
      </c>
      <c r="K123" s="76">
        <f>IF(E123=0,0,VLOOKUP(F123,Tables!$D$151:$Z$157,(D123+1+1))*E123)*Tables!$F$24</f>
        <v>0</v>
      </c>
      <c r="L123" s="76">
        <f t="shared" si="3"/>
        <v>0</v>
      </c>
      <c r="M123" s="76">
        <f>CHOOSE((F123+1),0.000002,0.000017,0.000167,0.001667,0.016667,0.166667,0.2)*E123*1000/20*Tables!$F$25</f>
        <v>0</v>
      </c>
      <c r="N123" s="84"/>
      <c r="O123" s="94">
        <f>CHOOSE((F123+1),0.000088,0.000269,0.000833,0.006852,0.034444,0.134444,0.15)*IF(D123&lt;6,3,IF(D123&lt;7,2,1))*E123*2</f>
        <v>0</v>
      </c>
      <c r="P123" s="83"/>
      <c r="Q123" s="56"/>
    </row>
    <row r="124" spans="1:17" ht="12.75">
      <c r="A124" s="54"/>
      <c r="B124" s="47"/>
      <c r="C124" s="177" t="s">
        <v>1002</v>
      </c>
      <c r="D124" s="455">
        <v>12</v>
      </c>
      <c r="E124" s="65">
        <v>0</v>
      </c>
      <c r="F124" s="65">
        <v>0</v>
      </c>
      <c r="G124" s="65">
        <v>0</v>
      </c>
      <c r="H124" s="268"/>
      <c r="I124" s="268"/>
      <c r="J124" s="274" t="str">
        <f>IF(E124=0," ",CONCATENATE(CHOOSE((F124+1),"11","12","13","14","15","9","10","11 [.16mkm]","11.5 [.5mkm]","12 [1.6mkm]","12.5 [5mkm]","13 [16mkm]","13.5 [50mkm]","14 [160mkm]","14.5 [500mkm]"),IF(G124&gt;0," Fld","")))</f>
        <v> </v>
      </c>
      <c r="K124" s="76">
        <f>IF(E124=0,0,VLOOKUP(F124,Tables!$D$230:$Z$234,(D124+1+1))*5)*Tables!$F$24*E124</f>
        <v>0</v>
      </c>
      <c r="L124" s="76">
        <f t="shared" si="3"/>
        <v>0</v>
      </c>
      <c r="M124" s="76">
        <f>IF(E124=0,0,VLOOKUP(F124,Tables!$D$230:$Z$234,(D124+1+1)))*Tables!$F$25*IF(G124&gt;0,0.1,1)*E124</f>
        <v>0</v>
      </c>
      <c r="N124" s="76">
        <f>M124*5</f>
        <v>0</v>
      </c>
      <c r="O124" s="94">
        <f aca="true" t="shared" si="4" ref="O124:O129">M124*5</f>
        <v>0</v>
      </c>
      <c r="P124" s="83"/>
      <c r="Q124" s="56"/>
    </row>
    <row r="125" spans="1:17" ht="12.75">
      <c r="A125" s="54"/>
      <c r="B125" s="47"/>
      <c r="C125" s="262" t="s">
        <v>1003</v>
      </c>
      <c r="D125" s="455">
        <v>12</v>
      </c>
      <c r="E125" s="65">
        <v>0</v>
      </c>
      <c r="F125" s="65">
        <v>0</v>
      </c>
      <c r="G125" s="65">
        <v>0</v>
      </c>
      <c r="H125" s="268"/>
      <c r="I125" s="268"/>
      <c r="J125" s="274" t="str">
        <f>IF(E125=0," ",CONCATENATE(CHOOSE((F125+1),"11","12","13","14","15","9","10","11 [.16mkm]","11.5 [.5mkm]","12 [1.6mkm]","12.5 [5mkm]","13 [16mkm]","13.5 [50mkm]","14 [160mkm]","14.5 [500mkm]"),IF(G125&gt;0," Fld","")))</f>
        <v> </v>
      </c>
      <c r="K125" s="76">
        <f>IF(E125=0,0,VLOOKUP(F125,Tables!$D$230:$Z$234,(D125+1+1))*5)*Tables!$F$24*E125</f>
        <v>0</v>
      </c>
      <c r="L125" s="76">
        <f t="shared" si="3"/>
        <v>0</v>
      </c>
      <c r="M125" s="76">
        <f>IF(E125=0,0,VLOOKUP(F125,Tables!$D$230:$Z$234,(D125+1+1)))*Tables!$F$25*IF(G125&gt;0,0.1,1)*E125</f>
        <v>0</v>
      </c>
      <c r="N125" s="84"/>
      <c r="O125" s="94">
        <f t="shared" si="4"/>
        <v>0</v>
      </c>
      <c r="P125" s="83"/>
      <c r="Q125" s="56"/>
    </row>
    <row r="126" spans="1:17" ht="12.75">
      <c r="A126" s="54"/>
      <c r="B126" s="47"/>
      <c r="C126" s="177" t="s">
        <v>1004</v>
      </c>
      <c r="D126" s="455">
        <v>12</v>
      </c>
      <c r="E126" s="65">
        <v>0</v>
      </c>
      <c r="F126" s="65">
        <v>0</v>
      </c>
      <c r="G126" s="65">
        <v>0</v>
      </c>
      <c r="H126" s="268"/>
      <c r="I126" s="268"/>
      <c r="J126" s="274" t="str">
        <f>IF(E126=0," ",CONCATENATE(CHOOSE((F126+1),"11","12","13","14","15","9","10","11 [.16mkm]","11.5 [.5mkm]","12 [1.6mkm]","12.5 [5mkm]","13 [16mkm]","13.5 [50mkm]","14 [160mkm]","14.5 [500mkm]"),IF(G126&gt;0," Fld","")))</f>
        <v> </v>
      </c>
      <c r="K126" s="76">
        <f>IF(E126=0,0,VLOOKUP(F126,Tables!$D$230:$Z$234,(D126+1+1))*0.5)*Tables!$F$24*E126</f>
        <v>0</v>
      </c>
      <c r="L126" s="76">
        <f t="shared" si="3"/>
        <v>0</v>
      </c>
      <c r="M126" s="76">
        <f>IF(E126=0,0,VLOOKUP(F126,Tables!$D$230:$Z$234,(D126+1+1)))*Tables!$F$25*0.1*IF(G126&gt;0,0.1,1)*E126</f>
        <v>0</v>
      </c>
      <c r="N126" s="76">
        <f>M126*0.1</f>
        <v>0</v>
      </c>
      <c r="O126" s="94">
        <f t="shared" si="4"/>
        <v>0</v>
      </c>
      <c r="P126" s="83"/>
      <c r="Q126" s="56"/>
    </row>
    <row r="127" spans="1:17" ht="12.75">
      <c r="A127" s="54"/>
      <c r="B127" s="47"/>
      <c r="C127" s="262" t="s">
        <v>1005</v>
      </c>
      <c r="D127" s="455">
        <v>12</v>
      </c>
      <c r="E127" s="65">
        <v>0</v>
      </c>
      <c r="F127" s="65">
        <v>0</v>
      </c>
      <c r="G127" s="65">
        <v>0</v>
      </c>
      <c r="H127" s="268"/>
      <c r="I127" s="268"/>
      <c r="J127" s="274" t="str">
        <f>IF(E127=0," ",CONCATENATE(CHOOSE((F127+1),"11","12","13","14","15","9","10","11 [.16mkm]","11.5 [.5mkm]","12 [1.6mkm]","12.5 [5mkm]","13 [16mkm]","13.5 [50mkm]","14 [160mkm]","14.5 [500mkm]"),IF(G127&gt;0," Fld","")))</f>
        <v> </v>
      </c>
      <c r="K127" s="76">
        <f>IF(E127=0,0,VLOOKUP(F127,Tables!$D$230:$Z$234,(D127+1+1))*0.5)*Tables!$F$24*E127</f>
        <v>0</v>
      </c>
      <c r="L127" s="76">
        <f t="shared" si="3"/>
        <v>0</v>
      </c>
      <c r="M127" s="76">
        <f>IF(E127=0,0,VLOOKUP(F127,Tables!$D$230:$Z$234,(D127+1+1)))*Tables!$F$25*0.1*IF(G127&gt;0,0.1,1)*E127</f>
        <v>0</v>
      </c>
      <c r="N127" s="84"/>
      <c r="O127" s="94">
        <f t="shared" si="4"/>
        <v>0</v>
      </c>
      <c r="P127" s="83"/>
      <c r="Q127" s="56"/>
    </row>
    <row r="128" spans="1:17" ht="12.75">
      <c r="A128" s="54"/>
      <c r="B128" s="47"/>
      <c r="C128" s="177" t="s">
        <v>1006</v>
      </c>
      <c r="D128" s="455">
        <v>12</v>
      </c>
      <c r="E128" s="65">
        <v>0</v>
      </c>
      <c r="F128" s="65">
        <v>0</v>
      </c>
      <c r="G128" s="65">
        <v>0</v>
      </c>
      <c r="H128" s="268"/>
      <c r="I128" s="268"/>
      <c r="J128" s="274" t="str">
        <f>IF(E128=0," ",CONCATENATE(CHOOSE((F128+1),"13","14","15","16"),IF(G128&gt;0," Fld","")))</f>
        <v> </v>
      </c>
      <c r="K128" s="76">
        <f>IF(E128=0,0,VLOOKUP(F128,Tables!$D$237:$Z$240,(D128+1+1))*2)*Tables!$F$24*E128</f>
        <v>0</v>
      </c>
      <c r="L128" s="76">
        <f t="shared" si="3"/>
        <v>0</v>
      </c>
      <c r="M128" s="76">
        <f>IF(E128=0,0,VLOOKUP(F128,Tables!$D$237:$Z$240,(D128+1+1)))*Tables!$F$25*IF(G128&gt;0,0.1,1)*E128</f>
        <v>0</v>
      </c>
      <c r="N128" s="76">
        <f>M128*0.1</f>
        <v>0</v>
      </c>
      <c r="O128" s="94">
        <f t="shared" si="4"/>
        <v>0</v>
      </c>
      <c r="P128" s="83"/>
      <c r="Q128" s="56"/>
    </row>
    <row r="129" spans="1:17" ht="12.75">
      <c r="A129" s="54"/>
      <c r="B129" s="47"/>
      <c r="C129" s="262" t="s">
        <v>1007</v>
      </c>
      <c r="D129" s="455">
        <v>12</v>
      </c>
      <c r="E129" s="65">
        <v>0</v>
      </c>
      <c r="F129" s="65">
        <v>0</v>
      </c>
      <c r="G129" s="65">
        <v>0</v>
      </c>
      <c r="H129" s="268"/>
      <c r="I129" s="268"/>
      <c r="J129" s="274" t="str">
        <f>IF(E129=0," ",CONCATENATE(CHOOSE((F129+1),"13","14","15","16"),IF(G129&gt;0," Fld","")))</f>
        <v> </v>
      </c>
      <c r="K129" s="76">
        <f>IF(E129=0,0,VLOOKUP(F129,Tables!$D$237:$Z$240,(D129+1+1))*2)*Tables!$F$24*E129</f>
        <v>0</v>
      </c>
      <c r="L129" s="76">
        <f t="shared" si="3"/>
        <v>0</v>
      </c>
      <c r="M129" s="76">
        <f>IF(E129=0,0,VLOOKUP(F129,Tables!$D$237:$Z$240,(D129+1+1)))*Tables!$F$25*IF(G129&gt;0,0.1,1)*E129</f>
        <v>0</v>
      </c>
      <c r="N129" s="84"/>
      <c r="O129" s="94">
        <f t="shared" si="4"/>
        <v>0</v>
      </c>
      <c r="P129" s="83"/>
      <c r="Q129" s="56"/>
    </row>
    <row r="130" spans="1:17" ht="12.75">
      <c r="A130" s="54"/>
      <c r="B130" s="47"/>
      <c r="C130" s="177" t="s">
        <v>1008</v>
      </c>
      <c r="D130" s="268"/>
      <c r="E130" s="65">
        <v>0</v>
      </c>
      <c r="F130" s="268"/>
      <c r="G130" s="268"/>
      <c r="H130" s="268"/>
      <c r="I130" s="268"/>
      <c r="J130" s="268"/>
      <c r="K130" s="76">
        <f>E130*0.001*Tables!$F$3</f>
        <v>0</v>
      </c>
      <c r="L130" s="76">
        <f>K130</f>
        <v>0</v>
      </c>
      <c r="M130" s="84"/>
      <c r="N130" s="84"/>
      <c r="O130" s="94">
        <f>K130*0.1</f>
        <v>0</v>
      </c>
      <c r="P130" s="83"/>
      <c r="Q130" s="56"/>
    </row>
    <row r="131" spans="1:17" ht="12.75">
      <c r="A131" s="54"/>
      <c r="B131" s="47"/>
      <c r="C131" s="265" t="s">
        <v>876</v>
      </c>
      <c r="D131" s="269"/>
      <c r="E131" s="159">
        <v>0</v>
      </c>
      <c r="F131" s="269"/>
      <c r="G131" s="269"/>
      <c r="H131" s="269"/>
      <c r="I131" s="269"/>
      <c r="J131" s="269"/>
      <c r="K131" s="77">
        <f>E131*0.01*Tables!$F$3*E130</f>
        <v>0</v>
      </c>
      <c r="L131" s="77">
        <f>K131*2</f>
        <v>0</v>
      </c>
      <c r="M131" s="86"/>
      <c r="N131" s="86"/>
      <c r="O131" s="95">
        <f>K131*5</f>
        <v>0</v>
      </c>
      <c r="P131" s="83"/>
      <c r="Q131" s="56"/>
    </row>
    <row r="132" spans="1:17" ht="12.75">
      <c r="A132" s="54"/>
      <c r="B132" s="47"/>
      <c r="C132" s="177" t="s">
        <v>1009</v>
      </c>
      <c r="D132" s="268"/>
      <c r="E132" s="65">
        <v>0</v>
      </c>
      <c r="F132" s="268"/>
      <c r="G132" s="268"/>
      <c r="H132" s="268"/>
      <c r="I132" s="268"/>
      <c r="J132" s="268"/>
      <c r="K132" s="76">
        <f>E132*0.01*Tables!$F$4</f>
        <v>0</v>
      </c>
      <c r="L132" s="76">
        <f>K132</f>
        <v>0</v>
      </c>
      <c r="M132" s="84"/>
      <c r="N132" s="84"/>
      <c r="O132" s="94">
        <f>K132*0.1</f>
        <v>0</v>
      </c>
      <c r="P132" s="83"/>
      <c r="Q132" s="56"/>
    </row>
    <row r="133" spans="1:17" ht="12.75">
      <c r="A133" s="54"/>
      <c r="B133" s="47"/>
      <c r="C133" s="265" t="s">
        <v>876</v>
      </c>
      <c r="D133" s="269"/>
      <c r="E133" s="159">
        <v>0</v>
      </c>
      <c r="F133" s="269"/>
      <c r="G133" s="269"/>
      <c r="H133" s="269"/>
      <c r="I133" s="269"/>
      <c r="J133" s="269"/>
      <c r="K133" s="77">
        <f>E133*0.1*Tables!$F$4*E132</f>
        <v>0</v>
      </c>
      <c r="L133" s="77">
        <f>K133*2</f>
        <v>0</v>
      </c>
      <c r="M133" s="86"/>
      <c r="N133" s="86"/>
      <c r="O133" s="95">
        <f>K133*5</f>
        <v>0</v>
      </c>
      <c r="P133" s="83"/>
      <c r="Q133" s="56"/>
    </row>
    <row r="134" spans="1:17" ht="12.75">
      <c r="A134" s="54"/>
      <c r="B134" s="47"/>
      <c r="C134" s="177" t="s">
        <v>1010</v>
      </c>
      <c r="D134" s="268"/>
      <c r="E134" s="65">
        <v>0</v>
      </c>
      <c r="F134" s="268"/>
      <c r="G134" s="268"/>
      <c r="H134" s="268"/>
      <c r="I134" s="268"/>
      <c r="J134" s="268"/>
      <c r="K134" s="76">
        <f>E134*0.01*Tables!$F$4</f>
        <v>0</v>
      </c>
      <c r="L134" s="76">
        <f>K134</f>
        <v>0</v>
      </c>
      <c r="M134" s="84"/>
      <c r="N134" s="84"/>
      <c r="O134" s="94">
        <f>K134*0.1</f>
        <v>0</v>
      </c>
      <c r="P134" s="83"/>
      <c r="Q134" s="56"/>
    </row>
    <row r="135" spans="1:17" ht="12.75">
      <c r="A135" s="54"/>
      <c r="B135" s="47"/>
      <c r="C135" s="303" t="s">
        <v>876</v>
      </c>
      <c r="D135" s="268"/>
      <c r="E135" s="65">
        <v>0</v>
      </c>
      <c r="F135" s="268"/>
      <c r="G135" s="268"/>
      <c r="H135" s="268"/>
      <c r="I135" s="268"/>
      <c r="J135" s="268"/>
      <c r="K135" s="76">
        <f>E135*0.1*Tables!$F$4*E134</f>
        <v>0</v>
      </c>
      <c r="L135" s="76">
        <f>K135*2</f>
        <v>0</v>
      </c>
      <c r="M135" s="84"/>
      <c r="N135" s="84"/>
      <c r="O135" s="94">
        <f>K135*5</f>
        <v>0</v>
      </c>
      <c r="P135" s="83"/>
      <c r="Q135" s="56"/>
    </row>
    <row r="136" spans="1:17" ht="12.75">
      <c r="A136" s="54"/>
      <c r="B136" s="47"/>
      <c r="C136" s="80" t="s">
        <v>1011</v>
      </c>
      <c r="D136" s="271"/>
      <c r="E136" s="271"/>
      <c r="F136" s="71">
        <v>0</v>
      </c>
      <c r="G136" s="271"/>
      <c r="H136" s="271"/>
      <c r="I136" s="271"/>
      <c r="J136" s="272" t="str">
        <f>IF(F136=0,"None",CONCATENATE(ROUND(Tables!G52*100,2),"cm thick"))</f>
        <v>None</v>
      </c>
      <c r="K136" s="68">
        <f>Tables!F52*Tables!G52*Tables!F24</f>
        <v>0</v>
      </c>
      <c r="L136" s="68">
        <f>K136*Tables!$F$10</f>
        <v>0</v>
      </c>
      <c r="M136" s="70"/>
      <c r="N136" s="68">
        <f>0.001*K136*Tables!$F$12</f>
        <v>0</v>
      </c>
      <c r="O136" s="81">
        <f>Tables!$F$11*K136</f>
        <v>0</v>
      </c>
      <c r="P136" s="83"/>
      <c r="Q136" s="56"/>
    </row>
    <row r="137" spans="1:17" ht="12.75">
      <c r="A137" s="54"/>
      <c r="B137" s="131"/>
      <c r="C137" s="40" t="s">
        <v>263</v>
      </c>
      <c r="D137" s="35" t="s">
        <v>903</v>
      </c>
      <c r="E137" s="35" t="s">
        <v>904</v>
      </c>
      <c r="F137" s="35" t="s">
        <v>905</v>
      </c>
      <c r="G137" s="35" t="s">
        <v>906</v>
      </c>
      <c r="H137" s="35" t="s">
        <v>907</v>
      </c>
      <c r="I137" s="35" t="s">
        <v>908</v>
      </c>
      <c r="J137" s="35" t="s">
        <v>909</v>
      </c>
      <c r="K137" s="15" t="s">
        <v>910</v>
      </c>
      <c r="L137" s="15" t="s">
        <v>911</v>
      </c>
      <c r="M137" s="15" t="s">
        <v>912</v>
      </c>
      <c r="N137" s="15" t="s">
        <v>913</v>
      </c>
      <c r="O137" s="73" t="s">
        <v>914</v>
      </c>
      <c r="P137" s="136"/>
      <c r="Q137" s="56"/>
    </row>
    <row r="138" spans="1:17" ht="12.75">
      <c r="A138" s="54"/>
      <c r="B138" s="131"/>
      <c r="C138" s="254" t="s">
        <v>1012</v>
      </c>
      <c r="D138" s="455">
        <v>12</v>
      </c>
      <c r="E138" s="268"/>
      <c r="F138" s="159">
        <v>0</v>
      </c>
      <c r="G138" s="268"/>
      <c r="H138" s="268"/>
      <c r="I138" s="267"/>
      <c r="J138" s="273" t="str">
        <f>IF(F138=0," ",IF(D138&lt;6,"TL Violation",IF(G138&gt;CHOOSE((D138+1),2,2,2,2,2,2,2,2,2,2,2,2,2,3,3,3,3,3,3,3,3,3),"TL Violation",CONCATENATE(ROUND(Tables!L528,1),"MW"))))</f>
        <v> </v>
      </c>
      <c r="K138" s="74">
        <f>(IF(F138=0,0,IF(D138&lt;6,#VALUE!,IF(Tables!K528&gt;Tables!E528*100000,Tables!K528,IF(Tables!J528&gt;Tables!E528*10000,Tables!J528,IF(Tables!I528&gt;Tables!E528*1000,Tables!I528,IF(Tables!H528&gt;Tables!E528*100,Tables!H528,IF(Tables!G528&gt;Tables!E528*10,Tables!G528,IF(Tables!F528&gt;Tables!E528,Tables!F528,Tables!E528)))))))))</f>
        <v>0</v>
      </c>
      <c r="L138" s="74">
        <f>K138*CHOOSE((((D138+1)-1)+1),0,0,0,0,0,0,10,8,6,6,6,6,6,6,6,6,6,6,6,6,6,6)</f>
        <v>0</v>
      </c>
      <c r="M138" s="74">
        <f>N138*10*CHOOSE((F155+1),1,2,10,20)*IF(F155&gt;CHOOSE((D155+1),2,2,2,2,2,2,2,2,2,2,2,2,2,3,3,3,3,3,3,3,3,3),#VALUE!,1)</f>
        <v>0</v>
      </c>
      <c r="N138" s="74">
        <f>Tables!L528</f>
        <v>0</v>
      </c>
      <c r="O138" s="90">
        <f>0.1*K138+CHOOSE((F155+1),0,0.1,1,10)*M138</f>
        <v>0</v>
      </c>
      <c r="P138" s="136"/>
      <c r="Q138" s="56"/>
    </row>
    <row r="139" spans="1:17" ht="12.75">
      <c r="A139" s="54"/>
      <c r="B139" s="131"/>
      <c r="C139" s="262" t="s">
        <v>1013</v>
      </c>
      <c r="D139" s="268"/>
      <c r="E139" s="268"/>
      <c r="F139" s="159">
        <v>0</v>
      </c>
      <c r="G139" s="268"/>
      <c r="H139" s="268"/>
      <c r="I139" s="267"/>
      <c r="J139" s="273" t="str">
        <f>IF(F139=0," ",CONCATENATE(ROUND(F139,1),"yr"))</f>
        <v> </v>
      </c>
      <c r="K139" s="76">
        <f>F139*N138*CHOOSE((D138+1),0,0,0,0,0,0,0.75,0.25,0.1,0.1,0.1,0.1,0.1,0.1,0.1,0.1,0.1,0.1,0.1,0.1,0.1,0.1)</f>
        <v>0</v>
      </c>
      <c r="L139" s="76">
        <f>K139*19</f>
        <v>0</v>
      </c>
      <c r="M139" s="84"/>
      <c r="N139" s="84"/>
      <c r="O139" s="96"/>
      <c r="P139" s="136"/>
      <c r="Q139" s="56"/>
    </row>
    <row r="140" spans="1:17" ht="12.75">
      <c r="A140" s="54"/>
      <c r="B140" s="131"/>
      <c r="C140" s="262" t="s">
        <v>1014</v>
      </c>
      <c r="D140" s="455">
        <v>12</v>
      </c>
      <c r="E140" s="268"/>
      <c r="F140" s="159">
        <v>0</v>
      </c>
      <c r="G140" s="268"/>
      <c r="H140" s="268"/>
      <c r="I140" s="267"/>
      <c r="J140" s="273" t="str">
        <f>IF(F140=0," ",IF(D140&lt;6,"TL Violation",IF(G140&gt;CHOOSE((D140+1),2,2,2,2,2,2,2,2,2,2,2,2,2,3,3,3,3,3,3,3,3,3),"TL Violation",CONCATENATE(ROUND(Tables!L529,1),"MW"))))</f>
        <v> </v>
      </c>
      <c r="K140" s="74">
        <f>IF(F140=0,0,IF(D140&lt;6,#VALUE!,IF(Tables!K529&gt;Tables!E529*100000,Tables!K529,IF(Tables!J529&gt;Tables!E529*10000,Tables!J529,IF(Tables!I529&gt;Tables!E529*1000,Tables!I529,IF(Tables!H529&gt;Tables!E529*100,Tables!H529,IF(Tables!G529&gt;Tables!E529*10,Tables!G529,IF(Tables!F529&gt;Tables!E529,Tables!F529,Tables!E529))))))))</f>
        <v>0</v>
      </c>
      <c r="L140" s="74">
        <f>K140*CHOOSE((((D140+1)-1)+1),0,0,0,0,0,0,10,8,6,6,6,6,6,6,6,6,6,6,6,6,6,6)</f>
        <v>0</v>
      </c>
      <c r="M140" s="76">
        <f>10*Tables!L529*CHOOSE((F155+1),1,2,10,20)*IF(F155&gt;CHOOSE((D155+1),2,2,2,2,2,2,2,2,2,2,2,2,2,3,3,3,3,3,3,3,3,3),#VALUE!,1)</f>
        <v>0</v>
      </c>
      <c r="N140" s="84"/>
      <c r="O140" s="90">
        <f>0.1*K140+CHOOSE((F155+1),0,0.1,1,10)*M140</f>
        <v>0</v>
      </c>
      <c r="P140" s="136"/>
      <c r="Q140" s="56"/>
    </row>
    <row r="141" spans="1:17" ht="12.75">
      <c r="A141" s="54"/>
      <c r="B141" s="47"/>
      <c r="C141" s="254" t="s">
        <v>1015</v>
      </c>
      <c r="D141" s="455">
        <v>12</v>
      </c>
      <c r="E141" s="268"/>
      <c r="F141" s="159">
        <v>60</v>
      </c>
      <c r="G141" s="268"/>
      <c r="H141" s="268"/>
      <c r="I141" s="267"/>
      <c r="J141" s="273" t="str">
        <f>IF(F141=0," ",IF(D141&lt;9,"TL Violation",IF(G141&gt;CHOOSE((D141+1),2,2,2,2,2,2,2,2,2,2,2,2,2,3,3,3,3,3,3,3,3,3),"TL Violation",CONCATENATE(ROUND(Tables!L530,1),"MW"))))</f>
        <v>60MW</v>
      </c>
      <c r="K141" s="74">
        <f>(IF(F141=0,0,IF(D141&lt;9,#VALUE!,IF(Tables!K530&gt;Tables!E530*100000,Tables!K530,IF(Tables!J530&gt;Tables!E530*10000,Tables!J530,IF(Tables!I530&gt;Tables!E530*1000,Tables!I530,IF(Tables!H530&gt;Tables!E530*100,Tables!H530,IF(Tables!G530&gt;Tables!E530*10,Tables!G530,IF(Tables!F530&gt;Tables!E530,Tables!F530,Tables!E530)))))))))</f>
        <v>30</v>
      </c>
      <c r="L141" s="74">
        <f>K141*CHOOSE((((D141+1)-1)+1),0,0,0,0,0,0,0,0,0,4,4,4,4,3,3,2,1,1,1,1,1,1)</f>
        <v>120</v>
      </c>
      <c r="M141" s="74">
        <f>Tables!L530*CHOOSE((D141+1),0,0,0,0,0,0,0,0,0,1,0.1,0.1,0.01,0.01,0.001,0.001,0.001,0.001,0.001,0.001,0.001,0.001)*CHOOSE((F155+1),1,2,10,20)*IF(F155&gt;CHOOSE((((D155+1)-1)+1),2,2,2,2,2,2,2,2,2,2,2,2,2,3,3,3,3,3,3,3,3,3),#VALUE!,1)</f>
        <v>0.6</v>
      </c>
      <c r="N141" s="74">
        <f>Tables!L530</f>
        <v>60</v>
      </c>
      <c r="O141" s="90">
        <f>0.2*K141+CHOOSE((F155+1),0,0.1,1,10)*M141</f>
        <v>6</v>
      </c>
      <c r="P141" s="83"/>
      <c r="Q141" s="56"/>
    </row>
    <row r="142" spans="1:17" ht="12.75">
      <c r="A142" s="54"/>
      <c r="B142" s="47"/>
      <c r="C142" s="262" t="s">
        <v>1016</v>
      </c>
      <c r="D142" s="268"/>
      <c r="E142" s="268"/>
      <c r="F142" s="159">
        <v>0</v>
      </c>
      <c r="G142" s="268"/>
      <c r="H142" s="268"/>
      <c r="I142" s="267"/>
      <c r="J142" s="273" t="str">
        <f>IF(F142=0," ",CONCATENATE(ROUND(F142,1),"yr"))</f>
        <v> </v>
      </c>
      <c r="K142" s="76">
        <f>IF(F142=0,0,CHOOSE((D141+1),0,0,0,0,0,0,0,0,0,0.15,0.15,0.15,0.15,0.1,0.1,0.1,0.1,0.1,0.1,0.1,0.1,0.1,0.1)*F142*N141)</f>
        <v>0</v>
      </c>
      <c r="L142" s="76">
        <f>IF(D141&lt;12,K142*0.14,K142*0.07)</f>
        <v>0</v>
      </c>
      <c r="M142" s="84"/>
      <c r="N142" s="84"/>
      <c r="O142" s="96"/>
      <c r="P142" s="83"/>
      <c r="Q142" s="56"/>
    </row>
    <row r="143" spans="1:17" ht="12.75">
      <c r="A143" s="54"/>
      <c r="B143" s="47"/>
      <c r="C143" s="262" t="s">
        <v>1017</v>
      </c>
      <c r="D143" s="455">
        <v>12</v>
      </c>
      <c r="E143" s="268"/>
      <c r="F143" s="159">
        <v>0</v>
      </c>
      <c r="G143" s="268"/>
      <c r="H143" s="268"/>
      <c r="I143" s="267"/>
      <c r="J143" s="273" t="str">
        <f>IF(F143=0," ",IF(D143&lt;9,"TL Violation",IF(G143&gt;CHOOSE((D143+1),2,2,2,2,2,2,2,2,2,2,2,2,2,3,3,3,3,3,3,3,3,3),"TL Violation",CONCATENATE(ROUND(Tables!L531,1),"MW"))))</f>
        <v> </v>
      </c>
      <c r="K143" s="74">
        <f>IF(F143=0,0,IF(D143&lt;9,#VALUE!,IF(Tables!K531&gt;Tables!E531*100000,Tables!K531,IF(Tables!J531&gt;Tables!E531*10000,Tables!J531,IF(Tables!I531&gt;Tables!E531*1000,Tables!I531,IF(Tables!H531&gt;Tables!E531*100,Tables!H531,IF(Tables!G531&gt;Tables!E531*10,Tables!G531,IF(Tables!F531&gt;Tables!E531,Tables!F531,Tables!E531))))))))</f>
        <v>0</v>
      </c>
      <c r="L143" s="74">
        <f>K143*CHOOSE((((D143+1)-1)+1),0,0,0,0,0,0,0,0,0,4,4,4,4,3,3,2,1,1,1,1,1,1)</f>
        <v>0</v>
      </c>
      <c r="M143" s="74">
        <f>Tables!L531*CHOOSE((D143+1),0,0,0,0,0,0,0,0,0,1,0.1,0.1,0.01,0.01,0.001,0.001,0.001,0.001,0.001,0.001,0.001,0.001)*CHOOSE((F155+1),1,2,10,20)*IF(F155&gt;CHOOSE((((D155+1)-1)+1),2,2,2,2,2,2,2,2,2,2,2,2,2,3,3,3,3,3,3,3,3,3),#VALUE!,1)</f>
        <v>0</v>
      </c>
      <c r="N143" s="84"/>
      <c r="O143" s="90">
        <f>0.2*K143+CHOOSE((F155+1),0,0.1,1,10)*M143</f>
        <v>0</v>
      </c>
      <c r="P143" s="83"/>
      <c r="Q143" s="56"/>
    </row>
    <row r="144" spans="1:17" ht="12.75">
      <c r="A144" s="54"/>
      <c r="B144" s="47"/>
      <c r="C144" s="177" t="s">
        <v>1018</v>
      </c>
      <c r="D144" s="455">
        <v>12</v>
      </c>
      <c r="E144" s="268"/>
      <c r="F144" s="159">
        <v>0</v>
      </c>
      <c r="G144" s="268"/>
      <c r="H144" s="268"/>
      <c r="I144" s="267"/>
      <c r="J144" s="273" t="str">
        <f>IF(F144=0," ",IF(D144&lt;10,"TL Violation",IF(G144&gt;CHOOSE((D144+1),2,2,2,2,2,2,2,2,2,2,2,2,2,3,3,3,3,3,3,3,3,3),"TL Violation",CONCATENATE(ROUND(Tables!L532,1),"MW"))))</f>
        <v> </v>
      </c>
      <c r="K144" s="76">
        <f>IF(F144=0,0,IF(D144&lt;10,#VALUE!,MAX(F144/CHOOSE((D144+1),0,0,0,0,0,0,0,0,0,0,3,3.8,4.8,6,7.7,9.8,9.8,9.8,9.8,9.8,9.8,9.8),CHOOSE((D144+1),0,0,0,0,0,0,0,0,0,0,0.02,0.015,0.01,0.007,0.006,0.004,0.004,0.004,0.004,0.004,0.004,0.004))))</f>
        <v>0</v>
      </c>
      <c r="L144" s="76">
        <f>K144*CHOOSE((((D144+1)-1)+1),0,0,0,0,0,0,0,0,0,0,2,2,2,1.5,1.5,1,1,1,1,1,1,1)</f>
        <v>0</v>
      </c>
      <c r="M144" s="76">
        <f>Tables!L532*CHOOSE((D144+1),0,0,0,0,0,0,0,0,0,0,10,10,1,1,0.1,0.1,0.1,0.1,0.1,0.1,0.1,0.1)*CHOOSE((F155+1),1,2,10,20)*IF(F155&gt;CHOOSE((D155+1),2,2,2,2,2,2,2,2,2,2,2,2,2,3,3,3,3,3,3,3,3,3),#VALUE!,1)</f>
        <v>0</v>
      </c>
      <c r="N144" s="76">
        <f>Tables!L532</f>
        <v>0</v>
      </c>
      <c r="O144" s="94">
        <f>0.01*K144+CHOOSE((F155+1),0,0.1,1,10)*M144</f>
        <v>0</v>
      </c>
      <c r="P144" s="83"/>
      <c r="Q144" s="56"/>
    </row>
    <row r="145" spans="1:17" ht="12.75">
      <c r="A145" s="54"/>
      <c r="B145" s="47"/>
      <c r="C145" s="262" t="s">
        <v>1019</v>
      </c>
      <c r="D145" s="268"/>
      <c r="E145" s="268"/>
      <c r="F145" s="159">
        <v>0</v>
      </c>
      <c r="G145" s="268"/>
      <c r="H145" s="268"/>
      <c r="I145" s="267"/>
      <c r="J145" s="273" t="str">
        <f>IF(F145=0," ",CONCATENATE(ROUND(F145,1),"hr"))</f>
        <v> </v>
      </c>
      <c r="K145" s="76">
        <f>F145*0.0015*K144</f>
        <v>0</v>
      </c>
      <c r="L145" s="76">
        <f>K145*1.07</f>
        <v>0</v>
      </c>
      <c r="M145" s="84"/>
      <c r="N145" s="84"/>
      <c r="O145" s="96"/>
      <c r="P145" s="83"/>
      <c r="Q145" s="56"/>
    </row>
    <row r="146" spans="1:17" ht="12.75">
      <c r="A146" s="54"/>
      <c r="B146" s="47"/>
      <c r="C146" s="265" t="s">
        <v>1020</v>
      </c>
      <c r="D146" s="455">
        <v>12</v>
      </c>
      <c r="E146" s="268"/>
      <c r="F146" s="159">
        <v>0</v>
      </c>
      <c r="G146" s="268"/>
      <c r="H146" s="268"/>
      <c r="I146" s="267"/>
      <c r="J146" s="273" t="str">
        <f>IF(F146=0," ",IF(D146&lt;10,"TL Violation",CONCATENATE(ROUND(Tables!L533,1),"MW")))</f>
        <v> </v>
      </c>
      <c r="K146" s="76">
        <f>IF(F146=0,0,IF(D146&lt;10,#VALUE!,MAX(F146/CHOOSE((D146+1),0,0,0,0,0,0,0,0,0,0,3,3.8,4.8,6,7.7,9.8,9.8,9.8,9.8,9.8,9.8,9.8),CHOOSE((D146+1),0,0,0,0,0,0,0,0,0,0,0.02,0.015,0.01,0.007,0.006,0.004,0.004,0.004,0.004,0.004,0.004,0.004))))</f>
        <v>0</v>
      </c>
      <c r="L146" s="76">
        <f>K146*CHOOSE((((D146+1)-1)+1),0,0,0,0,0,0,0,0,0,0,2,2,2,1.5,1.5,1,1,1,1,1,1,1)</f>
        <v>0</v>
      </c>
      <c r="M146" s="76">
        <f>Tables!L533*CHOOSE((D146+1),0,0,0,0,0,0,0,0,0,0,10,10,1,1,0.1,0.1,0.1,0.1,0.1,0.1,0.1,0.1)*CHOOSE((F155+1),1,2,10,20)*IF(F155&gt;CHOOSE((D155+1),2,2,2,2,2,2,2,2,2,2,2,2,2,3,3,3,3,3,3,3,3,3),#VALUE!,1)</f>
        <v>0</v>
      </c>
      <c r="N146" s="84"/>
      <c r="O146" s="94">
        <f>0.01*K146+CHOOSE((F155+1),0,0.1,1,10)*M146</f>
        <v>0</v>
      </c>
      <c r="P146" s="83"/>
      <c r="Q146" s="56"/>
    </row>
    <row r="147" spans="1:17" ht="12.75">
      <c r="A147" s="54"/>
      <c r="B147" s="47"/>
      <c r="C147" s="177" t="s">
        <v>1021</v>
      </c>
      <c r="D147" s="455">
        <v>12</v>
      </c>
      <c r="E147" s="268"/>
      <c r="F147" s="159">
        <v>0</v>
      </c>
      <c r="G147" s="268"/>
      <c r="H147" s="268"/>
      <c r="I147" s="267"/>
      <c r="J147" s="273" t="str">
        <f>IF(F147=0," ",IF(D147&lt;7,"TL Violation",IF(G147&gt;CHOOSE((D147+1),2,2,2,2,2,2,2,2,2,2,2,2,2,3,3,3,3,3,3,3,3,3),"TL Violation",CONCATENATE(ROUND(Tables!L534,1),"MW"))))</f>
        <v> </v>
      </c>
      <c r="K147" s="74">
        <f>IF(F147=0,0,IF(D147&lt;7,#VALUE!,IF(Tables!K534&gt;Tables!E534*100000,Tables!K534,IF(Tables!J534&gt;Tables!E534*10000,Tables!J534,IF(Tables!I534&gt;Tables!E534*1000,Tables!I534,IF(Tables!H534&gt;Tables!E534*100,Tables!H534,IF(Tables!G534&gt;Tables!E534*10,Tables!G534,IF(Tables!F534&gt;Tables!E534,Tables!F534,Tables!E534))))))))</f>
        <v>0</v>
      </c>
      <c r="L147" s="78">
        <f>K147</f>
        <v>0</v>
      </c>
      <c r="M147" s="78">
        <f>Tables!L534*CHOOSE((D147+1),0,0,0,0,0,0,0,10,10,10,10,10,1,1,0.1,0.1,0.01,0.01,0.01,0.01,0.01,0.01)*CHOOSE((F155+1),1,2,10,20)*IF(F155&gt;CHOOSE((D155+1),2,2,2,2,2,2,2,2,2,2,2,2,2,3,3,3,3,3,3,3,3,3),#VALUE!,1)</f>
        <v>0</v>
      </c>
      <c r="N147" s="74">
        <f>Tables!L534</f>
        <v>0</v>
      </c>
      <c r="O147" s="101">
        <f>0.02*K147+CHOOSE((F155+1),0,0.1,1,10)*M147</f>
        <v>0</v>
      </c>
      <c r="P147" s="83"/>
      <c r="Q147" s="56"/>
    </row>
    <row r="148" spans="1:17" ht="12.75">
      <c r="A148" s="54"/>
      <c r="B148" s="47"/>
      <c r="C148" s="262" t="s">
        <v>1022</v>
      </c>
      <c r="D148" s="268"/>
      <c r="E148" s="268"/>
      <c r="F148" s="159">
        <v>0</v>
      </c>
      <c r="G148" s="268"/>
      <c r="H148" s="268"/>
      <c r="I148" s="267"/>
      <c r="J148" s="273" t="str">
        <f>IF(F148=0," ",CONCATENATE(ROUND(F148,1),"hr"))</f>
        <v> </v>
      </c>
      <c r="K148" s="76">
        <f>F148*N147*CHOOSE((D147+1),0,0,0,0,0,0,0,0.3,0.3,0.3,0.3,0.3,0.25,0.25,0.2,0.2,0.2,0.2,0.2,0.2,0.2,0.2)</f>
        <v>0</v>
      </c>
      <c r="L148" s="78">
        <f>K148*0.9</f>
        <v>0</v>
      </c>
      <c r="M148" s="84"/>
      <c r="N148" s="84"/>
      <c r="O148" s="96"/>
      <c r="P148" s="83"/>
      <c r="Q148" s="56"/>
    </row>
    <row r="149" spans="1:17" ht="12.75">
      <c r="A149" s="54"/>
      <c r="B149" s="47"/>
      <c r="C149" s="265" t="s">
        <v>1023</v>
      </c>
      <c r="D149" s="455">
        <v>12</v>
      </c>
      <c r="E149" s="268"/>
      <c r="F149" s="159">
        <v>0</v>
      </c>
      <c r="G149" s="268"/>
      <c r="H149" s="268"/>
      <c r="I149" s="267"/>
      <c r="J149" s="273" t="str">
        <f>IF(F149=0," ",IF(D149&lt;7,"TL Violation",CONCATENATE(ROUND(Tables!L535,1),"MW")))</f>
        <v> </v>
      </c>
      <c r="K149" s="74">
        <f>IF(F149=0,0,IF(D149&lt;7,A149,IF(Tables!K535&gt;Tables!E535*100000,Tables!K535,IF(Tables!J535&gt;Tables!E535*10000,Tables!J535,IF(Tables!I535&gt;Tables!E535*1000,Tables!I535,IF(Tables!H535&gt;Tables!E535*100,Tables!H535,IF(Tables!G535&gt;Tables!E535*10,Tables!G535,IF(Tables!F535&gt;Tables!E535,Tables!F535,Tables!E535))))))))</f>
        <v>0</v>
      </c>
      <c r="L149" s="78">
        <f>K149</f>
        <v>0</v>
      </c>
      <c r="M149" s="78">
        <f>Tables!L535*CHOOSE((D149+1),0,0,0,0,0,0,0,10,10,10,10,10,1,1,0.1,0.1,0.01,0.01,0.01,0.01,0.01,0.01)*CHOOSE((F155+1),1,2,10,20)*IF(F155&gt;CHOOSE((D155+1),2,2,2,2,2,2,2,2,2,2,2,2,2,3,3,3,3,3,3,3,3,3),#VALUE!,1)</f>
        <v>0</v>
      </c>
      <c r="N149" s="84"/>
      <c r="O149" s="101">
        <f>0.02*K149+CHOOSE((F155+1),0,0.1,1,10)*M149</f>
        <v>0</v>
      </c>
      <c r="P149" s="83"/>
      <c r="Q149" s="56"/>
    </row>
    <row r="150" spans="1:17" ht="12.75">
      <c r="A150" s="54"/>
      <c r="B150" s="47"/>
      <c r="C150" s="177" t="s">
        <v>1024</v>
      </c>
      <c r="D150" s="455">
        <v>12</v>
      </c>
      <c r="E150" s="268"/>
      <c r="F150" s="159">
        <v>0</v>
      </c>
      <c r="G150" s="268"/>
      <c r="H150" s="268"/>
      <c r="I150" s="267"/>
      <c r="J150" s="273" t="str">
        <f>IF(F150=0," ",IF(D150&lt;17,"TL Violation",IF(G150&gt;CHOOSE((D150+1),2,2,2,2,2,2,2,2,2,2,2,2,2,3,3,3,3,3,3,3,3,3),"TL Violation",CONCATENATE(ROUND(Tables!L536,1),"MW"))))</f>
        <v> </v>
      </c>
      <c r="K150" s="74">
        <f>IF(F150=0,0,IF(D150&lt;17,#VALUE!,IF(Tables!K536&gt;Tables!E536*100000,Tables!K536,IF(Tables!J536&gt;Tables!E536*10000,Tables!J536,IF(Tables!I536&gt;Tables!E536*1000,Tables!I536,IF(Tables!H536&gt;Tables!E536*100,Tables!H536,IF(Tables!G536&gt;Tables!E536*10,Tables!G536,IF(Tables!F536&gt;Tables!E536,Tables!F536,Tables!E536))))))))</f>
        <v>0</v>
      </c>
      <c r="L150" s="78">
        <f>CHOOSE((((D150+1)-1)+1),0,0,0,0,0,0,0,0,0,0,0,0,0,0,0,0,0,6,5,4,3,2)*K150</f>
        <v>0</v>
      </c>
      <c r="M150" s="78">
        <f>CHOOSE((D150+1),0,0,0,0,0,0,0,0,0,0,0,0,0,0,0,0,0,0.01,0.01,0.001,0.001,0.001)*Tables!L536*CHOOSE((F155+1),1,2,10,20)*IF(F155&gt;CHOOSE((D155+1),2,2,2,2,2,2,2,2,2,2,2,2,2,3,3,3,3,3,3,3,3,3),#VALUE!,1)</f>
        <v>0</v>
      </c>
      <c r="N150" s="74">
        <f>Tables!L536</f>
        <v>0</v>
      </c>
      <c r="O150" s="101">
        <f>0.5*K150+CHOOSE((F155+1),0,0.1,1,10)*M150</f>
        <v>0</v>
      </c>
      <c r="P150" s="83"/>
      <c r="Q150" s="56"/>
    </row>
    <row r="151" spans="1:17" ht="12.75">
      <c r="A151" s="54"/>
      <c r="B151" s="47"/>
      <c r="C151" s="262" t="s">
        <v>1025</v>
      </c>
      <c r="D151" s="268"/>
      <c r="E151" s="268"/>
      <c r="F151" s="159">
        <v>0</v>
      </c>
      <c r="G151" s="268"/>
      <c r="H151" s="268"/>
      <c r="I151" s="267"/>
      <c r="J151" s="273" t="str">
        <f>IF(F151=0," ",CONCATENATE(ROUND(F151,1),"yr"))</f>
        <v> </v>
      </c>
      <c r="K151" s="76">
        <f>F151*N150*CHOOSE((D150+1),0,0,0,0,0,0,0,0,0,0,0,0,0,0,0,0,0,0.005,0.002,0.001,0.0005,0.0002)</f>
        <v>0</v>
      </c>
      <c r="L151" s="78">
        <f>K151*0.07</f>
        <v>0</v>
      </c>
      <c r="M151" s="84"/>
      <c r="N151" s="84"/>
      <c r="O151" s="96"/>
      <c r="P151" s="83"/>
      <c r="Q151" s="56"/>
    </row>
    <row r="152" spans="1:17" ht="12.75">
      <c r="A152" s="54"/>
      <c r="B152" s="47"/>
      <c r="C152" s="265" t="s">
        <v>1026</v>
      </c>
      <c r="D152" s="455">
        <v>12</v>
      </c>
      <c r="E152" s="268"/>
      <c r="F152" s="159">
        <v>0</v>
      </c>
      <c r="G152" s="268"/>
      <c r="H152" s="268"/>
      <c r="I152" s="267"/>
      <c r="J152" s="273" t="str">
        <f>IF(F152=0," ",IF(D152&lt;17,"TL Violation",CONCATENATE(ROUND(Tables!L537,1),"MW")))</f>
        <v> </v>
      </c>
      <c r="K152" s="74">
        <f>IF(F152=0,0,IF(D152&lt;17,#VALUE!,IF(Tables!K537&gt;Tables!E537*100000,Tables!K537,IF(Tables!J537&gt;Tables!E537*10000,Tables!J537,IF(Tables!I537&gt;Tables!E537*1000,Tables!I537,IF(Tables!H537&gt;Tables!E537*100,Tables!H537,IF(Tables!G537&gt;Tables!E537*10,Tables!G537,IF(Tables!F537&gt;Tables!E537,Tables!F537,Tables!E537))))))))</f>
        <v>0</v>
      </c>
      <c r="L152" s="78">
        <f>CHOOSE((((D152+1)-1)+1),0,0,0,0,0,0,0,0,0,0,0,0,0,0,0,0,0,6,5,4,3,2)*K152</f>
        <v>0</v>
      </c>
      <c r="M152" s="78">
        <f>CHOOSE((D152+1),0,0,0,0,0,0,0,0,0,0,0,0,0,0,0,0,0,0.01,0.01,0.001,0.001,0.001)*Tables!L537*CHOOSE((F155+1),1,2,10,20)*IF(F155&gt;CHOOSE((D155+1),2,2,2,2,2,2,2,2,2,2,2,2,2,3,3,3,3,3,3,3,3,3),#VALUE!,1)</f>
        <v>0</v>
      </c>
      <c r="N152" s="84"/>
      <c r="O152" s="90">
        <f>0.5*K152+CHOOSE((F155+1),0,0.1,1,10)*M152</f>
        <v>0</v>
      </c>
      <c r="P152" s="83"/>
      <c r="Q152" s="56"/>
    </row>
    <row r="153" spans="1:17" ht="12.75">
      <c r="A153" s="54"/>
      <c r="B153" s="47"/>
      <c r="C153" s="315" t="s">
        <v>1027</v>
      </c>
      <c r="D153" s="455">
        <v>12</v>
      </c>
      <c r="E153" s="268"/>
      <c r="F153" s="159">
        <v>0</v>
      </c>
      <c r="G153" s="159">
        <v>0</v>
      </c>
      <c r="H153" s="268"/>
      <c r="I153" s="267"/>
      <c r="J153" s="273" t="str">
        <f>IF(F153=0," ",IF(D153&lt;6,"TL Violation",CONCATENATE(ROUND(F153,0),"MW")))</f>
        <v> </v>
      </c>
      <c r="K153" s="74">
        <f>IF(F153=0,0,IF(D153&lt;6,#VALUE!,F153/CHOOSE((D153+1),0,0,0,0,0,0,0.001,0.0015,0.002,0.0025,0.003,0.004,0.004,0.004,0.004,0.004,0.004,0.004,0.004,0.004,0.004,0.004)))*IF(G153=2,1.1,1)</f>
        <v>0</v>
      </c>
      <c r="L153" s="78">
        <f>K153*2*IF(G153&gt;0,10*MAX(F37,F40,F39,F41,F42,F43),1)*IF(G153=2,2,1)</f>
        <v>0</v>
      </c>
      <c r="M153" s="78">
        <f>IF(G153&gt;0,0,N153*12)</f>
        <v>0</v>
      </c>
      <c r="N153" s="74">
        <f>F153</f>
        <v>0</v>
      </c>
      <c r="O153" s="90">
        <f>CHOOSE((D153+1),0,0,0,0,0,0,0.005,0.006,0.006,0.006,0.006,0.006,0.006,0.006,0.006,0.006,0.006,0.006,0.006,0.006,0.006,0.006,0.006)*K153</f>
        <v>0</v>
      </c>
      <c r="P153" s="83"/>
      <c r="Q153" s="56"/>
    </row>
    <row r="154" spans="1:17" ht="12.75">
      <c r="A154" s="54"/>
      <c r="B154" s="47"/>
      <c r="C154" s="315" t="s">
        <v>858</v>
      </c>
      <c r="D154" s="455">
        <v>12</v>
      </c>
      <c r="E154" s="268"/>
      <c r="F154" s="159">
        <v>0</v>
      </c>
      <c r="G154" s="159">
        <v>0</v>
      </c>
      <c r="H154" s="268"/>
      <c r="I154" s="267"/>
      <c r="J154" s="273">
        <f>IF(F154=0,"",IF(D154&lt;4,"TL Violation",CONCATENATE(F154*G154," MW/hrs")))</f>
      </c>
      <c r="K154" s="313">
        <f>IF(F154=0,0,IF(D154&lt;4,#VALUE!,(F154*G154)/CHOOSE((D154+1),0,0,0,0,0.04,0.06,0.08,0.1,0.2,0.4,0.8,1,1.5,2,2.5,3,3.5,4,6,8,10,12)))</f>
        <v>0</v>
      </c>
      <c r="L154" s="78">
        <f>CHOOSE((D154+1),0,0,0,0,2,2,2,2,2,2,2,2,2,2.5,2.5,2.5,2.5,2.5,3,4,5,6)*K154</f>
        <v>0</v>
      </c>
      <c r="M154" s="84"/>
      <c r="N154" s="84"/>
      <c r="O154" s="90">
        <f>CHOOSE((D154+1),0,0,0,0,0.001,0.001,0.0008,0.001,0.002,0.003,0.004,0.005,0.008,0.01,0.015,0.02,0.025,0.03,0.04,0.05,0.1)*K154</f>
        <v>0</v>
      </c>
      <c r="P154" s="83"/>
      <c r="Q154" s="56"/>
    </row>
    <row r="155" spans="1:17" ht="12.75">
      <c r="A155" s="54"/>
      <c r="B155" s="47"/>
      <c r="C155" s="298" t="s">
        <v>1028</v>
      </c>
      <c r="D155" s="455">
        <v>12</v>
      </c>
      <c r="E155" s="268"/>
      <c r="F155" s="159">
        <v>0</v>
      </c>
      <c r="G155" s="268"/>
      <c r="H155" s="268"/>
      <c r="I155" s="267"/>
      <c r="J155" s="273" t="str">
        <f>IF(CHOOSE((D155+1),2,2,2,2,2,2,2,2,2,2,2,2,2,3,3,3,3,3,3,3,3,3)&lt;F155,"TL Violation",CHOOSE((F155+1),"No masking","Basic Masking","Advanced Masking","Extreme Masking"))</f>
        <v>No masking</v>
      </c>
      <c r="K155" s="84"/>
      <c r="L155" s="84"/>
      <c r="M155" s="84"/>
      <c r="N155" s="84"/>
      <c r="O155" s="96"/>
      <c r="P155" s="83"/>
      <c r="Q155" s="56"/>
    </row>
    <row r="156" spans="1:17" ht="12.75">
      <c r="A156" s="54"/>
      <c r="B156" s="47"/>
      <c r="C156" s="298" t="s">
        <v>1029</v>
      </c>
      <c r="D156" s="268"/>
      <c r="E156" s="268"/>
      <c r="F156" s="159">
        <v>0</v>
      </c>
      <c r="G156" s="268"/>
      <c r="H156" s="268"/>
      <c r="I156" s="267"/>
      <c r="J156" s="273" t="str">
        <f>IF(F156=0,"No Masking","Masking Present")</f>
        <v>No Masking</v>
      </c>
      <c r="K156" s="74">
        <f>IF(F156&gt;0,(K138+K141+K144)*0.1,0)</f>
        <v>0</v>
      </c>
      <c r="L156" s="74">
        <f>K156</f>
        <v>0</v>
      </c>
      <c r="M156" s="82"/>
      <c r="N156" s="74">
        <f>K156*0.01</f>
        <v>0</v>
      </c>
      <c r="O156" s="90">
        <f>K156*1</f>
        <v>0</v>
      </c>
      <c r="P156" s="83"/>
      <c r="Q156" s="56"/>
    </row>
    <row r="157" spans="1:17" ht="12.75">
      <c r="A157" s="54"/>
      <c r="B157" s="47"/>
      <c r="C157" s="298" t="s">
        <v>1030</v>
      </c>
      <c r="D157" s="271"/>
      <c r="E157" s="271"/>
      <c r="F157" s="159">
        <v>0</v>
      </c>
      <c r="G157" s="271"/>
      <c r="H157" s="271"/>
      <c r="I157" s="271"/>
      <c r="J157" s="272" t="str">
        <f>IF(F157=0,"None",CONCATENATE(ROUND(Tables!G54*100,2),"cm thick"))</f>
        <v>None</v>
      </c>
      <c r="K157" s="68">
        <f>Tables!F54*Tables!G54*StealthVolMod</f>
        <v>0</v>
      </c>
      <c r="L157" s="68">
        <f>K157*Tables!$F$10</f>
        <v>0</v>
      </c>
      <c r="M157" s="70"/>
      <c r="N157" s="68">
        <f>0.001*K157*Tables!$F$12</f>
        <v>0</v>
      </c>
      <c r="O157" s="81">
        <f>Tables!$F$11*K157</f>
        <v>0</v>
      </c>
      <c r="P157" s="83"/>
      <c r="Q157" s="56"/>
    </row>
    <row r="158" spans="1:17" ht="12.75">
      <c r="A158" s="54"/>
      <c r="B158" s="131"/>
      <c r="C158" s="40" t="s">
        <v>279</v>
      </c>
      <c r="D158" s="35" t="s">
        <v>903</v>
      </c>
      <c r="E158" s="35" t="s">
        <v>904</v>
      </c>
      <c r="F158" s="35" t="s">
        <v>905</v>
      </c>
      <c r="G158" s="35" t="s">
        <v>906</v>
      </c>
      <c r="H158" s="35" t="s">
        <v>907</v>
      </c>
      <c r="I158" s="35" t="s">
        <v>908</v>
      </c>
      <c r="J158" s="35" t="s">
        <v>909</v>
      </c>
      <c r="K158" s="15" t="s">
        <v>910</v>
      </c>
      <c r="L158" s="15" t="s">
        <v>911</v>
      </c>
      <c r="M158" s="15" t="s">
        <v>912</v>
      </c>
      <c r="N158" s="15" t="s">
        <v>913</v>
      </c>
      <c r="O158" s="73" t="s">
        <v>914</v>
      </c>
      <c r="P158" s="136"/>
      <c r="Q158" s="56"/>
    </row>
    <row r="159" spans="1:17" ht="12.75">
      <c r="A159" s="54"/>
      <c r="B159" s="47"/>
      <c r="C159" s="254" t="s">
        <v>1031</v>
      </c>
      <c r="D159" s="268"/>
      <c r="E159" s="159">
        <v>0</v>
      </c>
      <c r="F159" s="159">
        <v>0</v>
      </c>
      <c r="G159" s="159">
        <v>0</v>
      </c>
      <c r="H159" s="268"/>
      <c r="I159" s="267"/>
      <c r="J159" s="273" t="str">
        <f aca="true" t="shared" si="5" ref="J159:J168">IF(F159=0," ",CONCATENATE(ROUND(F159,1),"std craft"))</f>
        <v> </v>
      </c>
      <c r="K159" s="74">
        <f>F159*E159*14*2*Tables!$F$24</f>
        <v>0</v>
      </c>
      <c r="L159" s="74">
        <f>K159*0.2+(E159*F159*14*D10)</f>
        <v>0</v>
      </c>
      <c r="M159" s="76">
        <f>G159*(((6*(F159*14))/PI())^(1/3)^2)*Tables!$F$25</f>
        <v>0</v>
      </c>
      <c r="N159" s="84"/>
      <c r="O159" s="90">
        <f aca="true" t="shared" si="6" ref="O159:O164">K159*0.0002</f>
        <v>0</v>
      </c>
      <c r="P159" s="83"/>
      <c r="Q159" s="56"/>
    </row>
    <row r="160" spans="1:17" ht="12.75">
      <c r="A160" s="54"/>
      <c r="B160" s="47"/>
      <c r="C160" s="254" t="s">
        <v>1031</v>
      </c>
      <c r="D160" s="268"/>
      <c r="E160" s="159">
        <v>0</v>
      </c>
      <c r="F160" s="159">
        <v>0</v>
      </c>
      <c r="G160" s="159">
        <v>0</v>
      </c>
      <c r="H160" s="268"/>
      <c r="I160" s="267"/>
      <c r="J160" s="273" t="str">
        <f t="shared" si="5"/>
        <v> </v>
      </c>
      <c r="K160" s="74">
        <f>F160*E160*14*2*Tables!$F$24</f>
        <v>0</v>
      </c>
      <c r="L160" s="74">
        <f>K160*0.2+(E160*F160*14*D10)</f>
        <v>0</v>
      </c>
      <c r="M160" s="76">
        <f>G160*((((6*(F160*14))/PI())^(1/3)*0.59)^2)*Tables!$F$25</f>
        <v>0</v>
      </c>
      <c r="N160" s="84"/>
      <c r="O160" s="90">
        <f t="shared" si="6"/>
        <v>0</v>
      </c>
      <c r="P160" s="83"/>
      <c r="Q160" s="56"/>
    </row>
    <row r="161" spans="1:17" ht="12.75">
      <c r="A161" s="54"/>
      <c r="B161" s="47"/>
      <c r="C161" s="254" t="s">
        <v>1032</v>
      </c>
      <c r="D161" s="268"/>
      <c r="E161" s="159">
        <v>0</v>
      </c>
      <c r="F161" s="159">
        <v>0</v>
      </c>
      <c r="G161" s="159">
        <v>0</v>
      </c>
      <c r="H161" s="268"/>
      <c r="I161" s="267"/>
      <c r="J161" s="273" t="str">
        <f t="shared" si="5"/>
        <v> </v>
      </c>
      <c r="K161" s="74">
        <f>E161*F161*14*4*Tables!$F$24</f>
        <v>0</v>
      </c>
      <c r="L161" s="74">
        <f>K161*0.2+(E161*F161*14*D10)</f>
        <v>0</v>
      </c>
      <c r="M161" s="76">
        <f>G161*((((6*(F161*14))/PI())^(1/3)*0.59)^2)*Tables!$F$25</f>
        <v>0</v>
      </c>
      <c r="N161" s="84"/>
      <c r="O161" s="90">
        <f t="shared" si="6"/>
        <v>0</v>
      </c>
      <c r="P161" s="83"/>
      <c r="Q161" s="56"/>
    </row>
    <row r="162" spans="1:17" ht="12.75">
      <c r="A162" s="54"/>
      <c r="B162" s="47"/>
      <c r="C162" s="254" t="s">
        <v>1032</v>
      </c>
      <c r="D162" s="268"/>
      <c r="E162" s="159">
        <v>0</v>
      </c>
      <c r="F162" s="159">
        <v>0</v>
      </c>
      <c r="G162" s="159">
        <v>0</v>
      </c>
      <c r="H162" s="268"/>
      <c r="I162" s="267"/>
      <c r="J162" s="273" t="str">
        <f t="shared" si="5"/>
        <v> </v>
      </c>
      <c r="K162" s="74">
        <f>E162*F162*14*4*Tables!$F$24</f>
        <v>0</v>
      </c>
      <c r="L162" s="74">
        <f>K162*0.2+(E162*F162*14*D10)</f>
        <v>0</v>
      </c>
      <c r="M162" s="76">
        <f>G162*((((6*(F162*14))/PI())^(1/3)*0.59)^2)*Tables!$F$25</f>
        <v>0</v>
      </c>
      <c r="N162" s="84"/>
      <c r="O162" s="90">
        <f t="shared" si="6"/>
        <v>0</v>
      </c>
      <c r="P162" s="83"/>
      <c r="Q162" s="56"/>
    </row>
    <row r="163" spans="1:17" ht="12.75">
      <c r="A163" s="54"/>
      <c r="B163" s="47"/>
      <c r="C163" s="254" t="s">
        <v>1033</v>
      </c>
      <c r="D163" s="268"/>
      <c r="E163" s="159">
        <v>0</v>
      </c>
      <c r="F163" s="159">
        <v>0</v>
      </c>
      <c r="G163" s="268"/>
      <c r="H163" s="268"/>
      <c r="I163" s="267"/>
      <c r="J163" s="273" t="str">
        <f t="shared" si="5"/>
        <v> </v>
      </c>
      <c r="K163" s="74">
        <f>E163*F163*14*1.1*Tables!$F$24</f>
        <v>0</v>
      </c>
      <c r="L163" s="74">
        <f>E163*F163*14*D10</f>
        <v>0</v>
      </c>
      <c r="M163" s="76">
        <f>E163*((((6*(F163*14))/PI())^(1/3)*0.59)^2)*Tables!$F$25</f>
        <v>0</v>
      </c>
      <c r="N163" s="84"/>
      <c r="O163" s="90">
        <f t="shared" si="6"/>
        <v>0</v>
      </c>
      <c r="P163" s="83"/>
      <c r="Q163" s="56"/>
    </row>
    <row r="164" spans="1:17" ht="12.75">
      <c r="A164" s="54"/>
      <c r="B164" s="47"/>
      <c r="C164" s="254" t="s">
        <v>1033</v>
      </c>
      <c r="D164" s="268"/>
      <c r="E164" s="159">
        <v>0</v>
      </c>
      <c r="F164" s="159">
        <v>0</v>
      </c>
      <c r="G164" s="268"/>
      <c r="H164" s="268"/>
      <c r="I164" s="267"/>
      <c r="J164" s="273" t="str">
        <f t="shared" si="5"/>
        <v> </v>
      </c>
      <c r="K164" s="74">
        <f>E164*F164*14*1.1*Tables!$F$24</f>
        <v>0</v>
      </c>
      <c r="L164" s="74">
        <f>E164*F164*14*D10</f>
        <v>0</v>
      </c>
      <c r="M164" s="76">
        <f>E164*((((6*(F164*14))/PI())^(1/3)*0.59)^2)*Tables!$F$25</f>
        <v>0</v>
      </c>
      <c r="N164" s="84"/>
      <c r="O164" s="90">
        <f t="shared" si="6"/>
        <v>0</v>
      </c>
      <c r="P164" s="83"/>
      <c r="Q164" s="56"/>
    </row>
    <row r="165" spans="1:17" ht="12.75">
      <c r="A165" s="54"/>
      <c r="B165" s="47"/>
      <c r="C165" s="254" t="s">
        <v>1034</v>
      </c>
      <c r="D165" s="268"/>
      <c r="E165" s="159">
        <v>0</v>
      </c>
      <c r="F165" s="159">
        <v>0</v>
      </c>
      <c r="G165" s="268"/>
      <c r="H165" s="268"/>
      <c r="I165" s="267"/>
      <c r="J165" s="273" t="str">
        <f t="shared" si="5"/>
        <v> </v>
      </c>
      <c r="K165" s="74">
        <f>E165*F165*14*1.05*Tables!$F$24</f>
        <v>0</v>
      </c>
      <c r="L165" s="74">
        <f>E165*F165*14*D10</f>
        <v>0</v>
      </c>
      <c r="M165" s="76">
        <f>E165*((((6*(F165*14))/PI())^(1/3)*0.59)^2)*Tables!$F$25</f>
        <v>0</v>
      </c>
      <c r="N165" s="84"/>
      <c r="O165" s="90">
        <f>0.0003*K165</f>
        <v>0</v>
      </c>
      <c r="P165" s="83"/>
      <c r="Q165" s="56"/>
    </row>
    <row r="166" spans="1:17" ht="12.75">
      <c r="A166" s="54"/>
      <c r="B166" s="47"/>
      <c r="C166" s="254" t="s">
        <v>1034</v>
      </c>
      <c r="D166" s="268"/>
      <c r="E166" s="159">
        <v>0</v>
      </c>
      <c r="F166" s="159">
        <v>0</v>
      </c>
      <c r="G166" s="268"/>
      <c r="H166" s="268"/>
      <c r="I166" s="267"/>
      <c r="J166" s="273" t="str">
        <f t="shared" si="5"/>
        <v> </v>
      </c>
      <c r="K166" s="74">
        <f>E166*F166*14*1.05*Tables!$F$24</f>
        <v>0</v>
      </c>
      <c r="L166" s="74">
        <f>E166*F166*14*D10</f>
        <v>0</v>
      </c>
      <c r="M166" s="76">
        <f>E166*((((6*(F166*14))/PI())^(1/3)*0.59)^2)*Tables!$F$25</f>
        <v>0</v>
      </c>
      <c r="N166" s="84"/>
      <c r="O166" s="90">
        <f>0.0003*K166</f>
        <v>0</v>
      </c>
      <c r="P166" s="83"/>
      <c r="Q166" s="56"/>
    </row>
    <row r="167" spans="1:17" ht="12.75">
      <c r="A167" s="54"/>
      <c r="B167" s="47"/>
      <c r="C167" s="254" t="s">
        <v>1035</v>
      </c>
      <c r="D167" s="268"/>
      <c r="E167" s="159">
        <v>0</v>
      </c>
      <c r="F167" s="159">
        <v>0</v>
      </c>
      <c r="G167" s="268"/>
      <c r="H167" s="268"/>
      <c r="I167" s="267"/>
      <c r="J167" s="273" t="str">
        <f t="shared" si="5"/>
        <v> </v>
      </c>
      <c r="K167" s="74">
        <f>E167*F167*14*25*Tables!$F$24</f>
        <v>0</v>
      </c>
      <c r="L167" s="74">
        <f>K167*0.5+(E167*F167*14*D10)</f>
        <v>0</v>
      </c>
      <c r="M167" s="76">
        <f>E167*((((6*(F167*14))/PI())^(1/3)*0.59)^2)*Tables!$F$25</f>
        <v>0</v>
      </c>
      <c r="N167" s="74">
        <f>K167*0.01</f>
        <v>0</v>
      </c>
      <c r="O167" s="90">
        <f>K167*0.00015</f>
        <v>0</v>
      </c>
      <c r="P167" s="83"/>
      <c r="Q167" s="56"/>
    </row>
    <row r="168" spans="1:17" ht="12.75">
      <c r="A168" s="54"/>
      <c r="B168" s="47"/>
      <c r="C168" s="254" t="s">
        <v>1035</v>
      </c>
      <c r="D168" s="268"/>
      <c r="E168" s="159">
        <v>0</v>
      </c>
      <c r="F168" s="159">
        <v>0</v>
      </c>
      <c r="G168" s="268"/>
      <c r="H168" s="268"/>
      <c r="I168" s="267"/>
      <c r="J168" s="273" t="str">
        <f t="shared" si="5"/>
        <v> </v>
      </c>
      <c r="K168" s="74">
        <f>E168*F168*14*25*Tables!$F$24</f>
        <v>0</v>
      </c>
      <c r="L168" s="74">
        <f>K168*0.5+(E168*F168*14*D10)</f>
        <v>0</v>
      </c>
      <c r="M168" s="76">
        <f>E168*((((6*(F168*14))/PI())^(1/3)*0.59)^2)*Tables!$F$25</f>
        <v>0</v>
      </c>
      <c r="N168" s="74">
        <f>K168*0.01</f>
        <v>0</v>
      </c>
      <c r="O168" s="90">
        <f>K168*0.00015</f>
        <v>0</v>
      </c>
      <c r="P168" s="83"/>
      <c r="Q168" s="56"/>
    </row>
    <row r="169" spans="1:17" ht="12.75">
      <c r="A169" s="54"/>
      <c r="B169" s="47"/>
      <c r="C169" s="254" t="s">
        <v>1036</v>
      </c>
      <c r="D169" s="268"/>
      <c r="E169" s="159">
        <v>0</v>
      </c>
      <c r="F169" s="159">
        <v>0</v>
      </c>
      <c r="G169" s="159">
        <v>0</v>
      </c>
      <c r="H169" s="159">
        <v>0</v>
      </c>
      <c r="I169" s="267"/>
      <c r="J169" s="273" t="str">
        <f>IF(F169=0," ",CONCATENATE(ROUND(F169,1),"std ",CHOOSE((G169+1),"USL ","SL ","AF "),IF(H169&gt;0,"Un","")))</f>
        <v> </v>
      </c>
      <c r="K169" s="74">
        <f>((CHOOSE((G169+1),0.1,0.3,0.5)*14*E169*F169)*Tables!$F$24)+(E169*F169*14)</f>
        <v>0</v>
      </c>
      <c r="L169" s="74">
        <f>((CHOOSE((((G169+1)-1)+1),0.1,0.3,0.5)*14*E169*F169)*Tables!$F$24)+(E169*F169*14*D10)</f>
        <v>0</v>
      </c>
      <c r="M169" s="192"/>
      <c r="N169" s="84"/>
      <c r="O169" s="90">
        <f>CHOOSE((G169+1),0.001,0.002,0.003)*F169*IF(H169&gt;0,1.25,1)</f>
        <v>0</v>
      </c>
      <c r="P169" s="83"/>
      <c r="Q169" s="56"/>
    </row>
    <row r="170" spans="1:17" ht="12.75">
      <c r="A170" s="54"/>
      <c r="B170" s="47"/>
      <c r="C170" s="254" t="s">
        <v>1036</v>
      </c>
      <c r="D170" s="268"/>
      <c r="E170" s="159">
        <v>0</v>
      </c>
      <c r="F170" s="159">
        <v>0</v>
      </c>
      <c r="G170" s="159">
        <v>0</v>
      </c>
      <c r="H170" s="159">
        <v>0</v>
      </c>
      <c r="I170" s="267"/>
      <c r="J170" s="273" t="str">
        <f>IF(F170=0," ",CONCATENATE(ROUND(F170,1),"std ",CHOOSE((G170+1),"USL ","SL ","AF "),IF(H170&gt;0,"Un","")))</f>
        <v> </v>
      </c>
      <c r="K170" s="74">
        <f>((CHOOSE((G170+1),0.1,0.3,0.5)*14*E170*F170)*Tables!$F$24)+(E170*F170*14)</f>
        <v>0</v>
      </c>
      <c r="L170" s="74">
        <f>((CHOOSE((((G170+1)-1)+1),0.1,0.3,0.5)*14*E170*F170)*Tables!$F$24)+(E170*F170*14*D11)</f>
        <v>0</v>
      </c>
      <c r="M170" s="193"/>
      <c r="N170" s="84"/>
      <c r="O170" s="90">
        <f>CHOOSE((G170+1),0.001,0.002,0.003)*F170*IF(H170&gt;0,1.25,1)</f>
        <v>0</v>
      </c>
      <c r="P170" s="83"/>
      <c r="Q170" s="56"/>
    </row>
    <row r="171" spans="1:17" ht="12.75">
      <c r="A171" s="54"/>
      <c r="B171" s="47"/>
      <c r="C171" s="282" t="s">
        <v>1037</v>
      </c>
      <c r="D171" s="271"/>
      <c r="E171" s="271"/>
      <c r="F171" s="159">
        <v>0</v>
      </c>
      <c r="G171" s="271"/>
      <c r="H171" s="271"/>
      <c r="I171" s="271"/>
      <c r="J171" s="272" t="str">
        <f>IF(F171=0,"None",CONCATENATE(ROUND(Tables!G56*100,2),"cm thick"))</f>
        <v>None</v>
      </c>
      <c r="K171" s="68">
        <f>Tables!F56*Tables!G56*StealthVolMod</f>
        <v>0</v>
      </c>
      <c r="L171" s="68">
        <f>K171*Tables!$F$10</f>
        <v>0</v>
      </c>
      <c r="M171" s="70"/>
      <c r="N171" s="68">
        <f>0.001*K171*Tables!$F$12</f>
        <v>0</v>
      </c>
      <c r="O171" s="81">
        <f>Tables!$F$11*K171</f>
        <v>0</v>
      </c>
      <c r="P171" s="83"/>
      <c r="Q171" s="56"/>
    </row>
    <row r="172" spans="1:17" ht="12.75">
      <c r="A172" s="54"/>
      <c r="B172" s="131"/>
      <c r="C172" s="40" t="s">
        <v>292</v>
      </c>
      <c r="D172" s="35" t="s">
        <v>903</v>
      </c>
      <c r="E172" s="35" t="s">
        <v>904</v>
      </c>
      <c r="F172" s="35" t="s">
        <v>905</v>
      </c>
      <c r="G172" s="35" t="s">
        <v>906</v>
      </c>
      <c r="H172" s="35" t="s">
        <v>907</v>
      </c>
      <c r="I172" s="35" t="s">
        <v>908</v>
      </c>
      <c r="J172" s="35" t="s">
        <v>909</v>
      </c>
      <c r="K172" s="15" t="s">
        <v>910</v>
      </c>
      <c r="L172" s="15" t="s">
        <v>911</v>
      </c>
      <c r="M172" s="15" t="s">
        <v>912</v>
      </c>
      <c r="N172" s="15" t="s">
        <v>913</v>
      </c>
      <c r="O172" s="73" t="s">
        <v>914</v>
      </c>
      <c r="P172" s="136"/>
      <c r="Q172" s="56"/>
    </row>
    <row r="173" spans="1:17" ht="12.75">
      <c r="A173" s="54"/>
      <c r="B173" s="47"/>
      <c r="C173" s="254" t="s">
        <v>1038</v>
      </c>
      <c r="D173" s="268"/>
      <c r="E173" s="159">
        <v>0</v>
      </c>
      <c r="F173" s="268"/>
      <c r="G173" s="268"/>
      <c r="H173" s="268"/>
      <c r="I173" s="268"/>
      <c r="J173" s="268"/>
      <c r="K173" s="74">
        <f>E173*84</f>
        <v>0</v>
      </c>
      <c r="L173" s="74">
        <f>E173*40</f>
        <v>0</v>
      </c>
      <c r="M173" s="84"/>
      <c r="N173" s="74">
        <f>E173</f>
        <v>0</v>
      </c>
      <c r="O173" s="90">
        <f>E173*0.6</f>
        <v>0</v>
      </c>
      <c r="P173" s="83"/>
      <c r="Q173" s="56"/>
    </row>
    <row r="174" spans="1:17" ht="12.75">
      <c r="A174" s="54"/>
      <c r="B174" s="47"/>
      <c r="C174" s="263" t="s">
        <v>1039</v>
      </c>
      <c r="D174" s="268"/>
      <c r="E174" s="159">
        <v>0</v>
      </c>
      <c r="F174" s="268"/>
      <c r="G174" s="268"/>
      <c r="H174" s="268"/>
      <c r="I174" s="268"/>
      <c r="J174" s="268"/>
      <c r="K174" s="77">
        <f>E174*140</f>
        <v>0</v>
      </c>
      <c r="L174" s="77">
        <f>E174*120</f>
        <v>0</v>
      </c>
      <c r="M174" s="84"/>
      <c r="N174" s="74">
        <f>E174*1</f>
        <v>0</v>
      </c>
      <c r="O174" s="90">
        <f>E174*2</f>
        <v>0</v>
      </c>
      <c r="P174" s="83"/>
      <c r="Q174" s="56"/>
    </row>
    <row r="175" spans="1:17" ht="12.75">
      <c r="A175" s="54"/>
      <c r="B175" s="47"/>
      <c r="C175" s="263" t="s">
        <v>1040</v>
      </c>
      <c r="D175" s="268"/>
      <c r="E175" s="159">
        <v>0</v>
      </c>
      <c r="F175" s="268"/>
      <c r="G175" s="268"/>
      <c r="H175" s="268"/>
      <c r="I175" s="268"/>
      <c r="J175" s="268"/>
      <c r="K175" s="78">
        <f>E175*112</f>
        <v>0</v>
      </c>
      <c r="L175" s="78">
        <f>E175*50</f>
        <v>0</v>
      </c>
      <c r="M175" s="84"/>
      <c r="N175" s="74">
        <f>E175*0.8</f>
        <v>0</v>
      </c>
      <c r="O175" s="90">
        <f>E175*5</f>
        <v>0</v>
      </c>
      <c r="P175" s="83"/>
      <c r="Q175" s="56"/>
    </row>
    <row r="176" spans="1:17" ht="12.75">
      <c r="A176" s="54"/>
      <c r="B176" s="47"/>
      <c r="C176" s="263" t="s">
        <v>1041</v>
      </c>
      <c r="D176" s="268"/>
      <c r="E176" s="159">
        <v>0</v>
      </c>
      <c r="F176" s="268"/>
      <c r="G176" s="268"/>
      <c r="H176" s="268"/>
      <c r="I176" s="268"/>
      <c r="J176" s="268"/>
      <c r="K176" s="78">
        <f>E176*112</f>
        <v>0</v>
      </c>
      <c r="L176" s="78">
        <f>E176*50</f>
        <v>0</v>
      </c>
      <c r="M176" s="84"/>
      <c r="N176" s="74">
        <f>E176*0.8</f>
        <v>0</v>
      </c>
      <c r="O176" s="90">
        <f>E176*5</f>
        <v>0</v>
      </c>
      <c r="P176" s="83"/>
      <c r="Q176" s="56"/>
    </row>
    <row r="177" spans="1:17" ht="12.75">
      <c r="A177" s="54"/>
      <c r="B177" s="47"/>
      <c r="C177" s="263" t="s">
        <v>1042</v>
      </c>
      <c r="D177" s="268"/>
      <c r="E177" s="159">
        <v>0</v>
      </c>
      <c r="F177" s="268"/>
      <c r="G177" s="268"/>
      <c r="H177" s="268"/>
      <c r="I177" s="268"/>
      <c r="J177" s="268"/>
      <c r="K177" s="78">
        <f>E177*0.5*(Tables!$F$3/1000)</f>
        <v>0</v>
      </c>
      <c r="L177" s="84"/>
      <c r="M177" s="84"/>
      <c r="N177" s="84"/>
      <c r="O177" s="96"/>
      <c r="P177" s="83"/>
      <c r="Q177" s="56"/>
    </row>
    <row r="178" spans="1:17" ht="12.75">
      <c r="A178" s="54"/>
      <c r="B178" s="47"/>
      <c r="C178" s="263" t="s">
        <v>1043</v>
      </c>
      <c r="D178" s="268"/>
      <c r="E178" s="159">
        <v>0</v>
      </c>
      <c r="F178" s="268"/>
      <c r="G178" s="268"/>
      <c r="H178" s="268"/>
      <c r="I178" s="268"/>
      <c r="J178" s="268"/>
      <c r="K178" s="76">
        <f>E178*14</f>
        <v>0</v>
      </c>
      <c r="L178" s="76">
        <f>E178*0.5</f>
        <v>0</v>
      </c>
      <c r="M178" s="84"/>
      <c r="N178" s="84"/>
      <c r="O178" s="94">
        <f>E178*0.005*1.1</f>
        <v>0</v>
      </c>
      <c r="P178" s="83"/>
      <c r="Q178" s="56"/>
    </row>
    <row r="179" spans="1:17" ht="12.75">
      <c r="A179" s="54"/>
      <c r="B179" s="47"/>
      <c r="C179" s="263" t="s">
        <v>1044</v>
      </c>
      <c r="D179" s="268"/>
      <c r="E179" s="159">
        <v>0</v>
      </c>
      <c r="F179" s="268"/>
      <c r="G179" s="268"/>
      <c r="H179" s="268"/>
      <c r="I179" s="268"/>
      <c r="J179" s="268"/>
      <c r="K179" s="76">
        <f>E179*14</f>
        <v>0</v>
      </c>
      <c r="L179" s="76">
        <f>E179</f>
        <v>0</v>
      </c>
      <c r="M179" s="84"/>
      <c r="N179" s="76">
        <f>E179*0.00025</f>
        <v>0</v>
      </c>
      <c r="O179" s="94">
        <f>E179*0.02*1.1</f>
        <v>0</v>
      </c>
      <c r="P179" s="83"/>
      <c r="Q179" s="56"/>
    </row>
    <row r="180" spans="1:17" ht="12.75">
      <c r="A180" s="54"/>
      <c r="B180" s="47"/>
      <c r="C180" s="263" t="s">
        <v>1045</v>
      </c>
      <c r="D180" s="268"/>
      <c r="E180" s="159">
        <v>0</v>
      </c>
      <c r="F180" s="268"/>
      <c r="G180" s="268"/>
      <c r="H180" s="268"/>
      <c r="I180" s="268"/>
      <c r="J180" s="268"/>
      <c r="K180" s="76">
        <f>E180*28</f>
        <v>0</v>
      </c>
      <c r="L180" s="76">
        <f>E180*2</f>
        <v>0</v>
      </c>
      <c r="M180" s="84"/>
      <c r="N180" s="76">
        <f>E180*0.0005</f>
        <v>0</v>
      </c>
      <c r="O180" s="94">
        <f>E180*0.04*1.1</f>
        <v>0</v>
      </c>
      <c r="P180" s="83"/>
      <c r="Q180" s="56"/>
    </row>
    <row r="181" spans="1:17" ht="12.75">
      <c r="A181" s="54"/>
      <c r="B181" s="47"/>
      <c r="C181" s="263" t="s">
        <v>879</v>
      </c>
      <c r="D181" s="268"/>
      <c r="E181" s="159">
        <v>0</v>
      </c>
      <c r="F181" s="159">
        <v>0</v>
      </c>
      <c r="G181" s="268"/>
      <c r="H181" s="268"/>
      <c r="I181" s="268"/>
      <c r="J181" s="268"/>
      <c r="K181" s="78">
        <f>E181*0.5*F181</f>
        <v>0</v>
      </c>
      <c r="L181" s="78">
        <f>K181*0.05</f>
        <v>0</v>
      </c>
      <c r="M181" s="84"/>
      <c r="N181" s="78">
        <f>0.00002*K181</f>
        <v>0</v>
      </c>
      <c r="O181" s="90">
        <f>0.002*K181</f>
        <v>0</v>
      </c>
      <c r="P181" s="83"/>
      <c r="Q181" s="56"/>
    </row>
    <row r="182" spans="1:17" ht="12.75">
      <c r="A182" s="54"/>
      <c r="B182" s="47"/>
      <c r="C182" s="263" t="s">
        <v>1046</v>
      </c>
      <c r="D182" s="268"/>
      <c r="E182" s="159">
        <v>0</v>
      </c>
      <c r="F182" s="268"/>
      <c r="G182" s="268"/>
      <c r="H182" s="268"/>
      <c r="I182" s="268"/>
      <c r="J182" s="268"/>
      <c r="K182" s="78">
        <f>E182*35</f>
        <v>0</v>
      </c>
      <c r="L182" s="78">
        <f>E182*0.5</f>
        <v>0</v>
      </c>
      <c r="M182" s="84"/>
      <c r="N182" s="78">
        <f>0.001*E182</f>
        <v>0</v>
      </c>
      <c r="O182" s="90">
        <f>E182*0.002</f>
        <v>0</v>
      </c>
      <c r="P182" s="83"/>
      <c r="Q182" s="56"/>
    </row>
    <row r="183" spans="1:17" ht="12.75">
      <c r="A183" s="54"/>
      <c r="B183" s="47"/>
      <c r="C183" s="263" t="s">
        <v>1047</v>
      </c>
      <c r="D183" s="268"/>
      <c r="E183" s="159">
        <v>0</v>
      </c>
      <c r="F183" s="159">
        <v>0</v>
      </c>
      <c r="G183" s="268"/>
      <c r="H183" s="268"/>
      <c r="I183" s="268"/>
      <c r="J183" s="159"/>
      <c r="K183" s="78">
        <f>E183*F183*14</f>
        <v>0</v>
      </c>
      <c r="L183" s="78">
        <f>K183*0.05</f>
        <v>0</v>
      </c>
      <c r="M183" s="84"/>
      <c r="N183" s="78">
        <f>0.00002*K183</f>
        <v>0</v>
      </c>
      <c r="O183" s="90">
        <f>0.001*K183</f>
        <v>0</v>
      </c>
      <c r="P183" s="83"/>
      <c r="Q183" s="56"/>
    </row>
    <row r="184" spans="1:17" ht="12.75">
      <c r="A184" s="54"/>
      <c r="B184" s="47"/>
      <c r="C184" s="263" t="s">
        <v>1047</v>
      </c>
      <c r="D184" s="268"/>
      <c r="E184" s="159">
        <v>0</v>
      </c>
      <c r="F184" s="159">
        <v>0</v>
      </c>
      <c r="G184" s="268"/>
      <c r="H184" s="268"/>
      <c r="I184" s="268"/>
      <c r="J184" s="159"/>
      <c r="K184" s="78">
        <f>E184*F184*14</f>
        <v>0</v>
      </c>
      <c r="L184" s="78">
        <f>K184*0.05</f>
        <v>0</v>
      </c>
      <c r="M184" s="84"/>
      <c r="N184" s="78">
        <f>0.00002*K184</f>
        <v>0</v>
      </c>
      <c r="O184" s="90">
        <f>0.001*K184</f>
        <v>0</v>
      </c>
      <c r="P184" s="83"/>
      <c r="Q184" s="56"/>
    </row>
    <row r="185" spans="1:17" ht="12.75">
      <c r="A185" s="54"/>
      <c r="B185" s="47"/>
      <c r="C185" s="263" t="s">
        <v>1048</v>
      </c>
      <c r="D185" s="455">
        <v>12</v>
      </c>
      <c r="E185" s="159">
        <v>0</v>
      </c>
      <c r="F185" s="159">
        <v>0</v>
      </c>
      <c r="G185" s="159">
        <v>0</v>
      </c>
      <c r="H185" s="159">
        <v>0</v>
      </c>
      <c r="I185" s="268"/>
      <c r="J185" s="159"/>
      <c r="K185" s="160">
        <v>0</v>
      </c>
      <c r="L185" s="160">
        <v>0</v>
      </c>
      <c r="M185" s="160">
        <v>0</v>
      </c>
      <c r="N185" s="160">
        <v>0</v>
      </c>
      <c r="O185" s="162">
        <v>0</v>
      </c>
      <c r="P185" s="83"/>
      <c r="Q185" s="56"/>
    </row>
    <row r="186" spans="1:17" ht="12.75">
      <c r="A186" s="54"/>
      <c r="B186" s="47"/>
      <c r="C186" s="263" t="s">
        <v>1048</v>
      </c>
      <c r="D186" s="455">
        <v>12</v>
      </c>
      <c r="E186" s="159">
        <v>0</v>
      </c>
      <c r="F186" s="159">
        <v>0</v>
      </c>
      <c r="G186" s="159">
        <v>0</v>
      </c>
      <c r="H186" s="159">
        <v>0</v>
      </c>
      <c r="I186" s="268"/>
      <c r="J186" s="159"/>
      <c r="K186" s="160">
        <v>0</v>
      </c>
      <c r="L186" s="160">
        <v>0</v>
      </c>
      <c r="M186" s="160">
        <v>0</v>
      </c>
      <c r="N186" s="160">
        <v>0</v>
      </c>
      <c r="O186" s="162">
        <v>0</v>
      </c>
      <c r="P186" s="83"/>
      <c r="Q186" s="56"/>
    </row>
    <row r="187" spans="1:17" ht="12.75">
      <c r="A187" s="54"/>
      <c r="B187" s="47"/>
      <c r="C187" s="263" t="s">
        <v>881</v>
      </c>
      <c r="D187" s="268"/>
      <c r="E187" s="159">
        <v>0</v>
      </c>
      <c r="F187" s="159">
        <v>0</v>
      </c>
      <c r="G187" s="268"/>
      <c r="H187" s="268"/>
      <c r="I187" s="268"/>
      <c r="J187" s="268"/>
      <c r="K187" s="76">
        <f>(E187*14)+(E187*F187*7)</f>
        <v>0</v>
      </c>
      <c r="L187" s="76">
        <f>K187</f>
        <v>0</v>
      </c>
      <c r="M187" s="76">
        <f>E187</f>
        <v>0</v>
      </c>
      <c r="N187" s="84"/>
      <c r="O187" s="94">
        <v>0</v>
      </c>
      <c r="P187" s="83"/>
      <c r="Q187" s="56"/>
    </row>
    <row r="188" spans="1:17" ht="12.75">
      <c r="A188" s="54"/>
      <c r="B188" s="47"/>
      <c r="C188" s="177" t="s">
        <v>1049</v>
      </c>
      <c r="D188" s="268"/>
      <c r="E188" s="159">
        <v>0</v>
      </c>
      <c r="F188" s="268"/>
      <c r="G188" s="268"/>
      <c r="H188" s="268"/>
      <c r="I188" s="268"/>
      <c r="J188" s="268"/>
      <c r="K188" s="76">
        <f>E188*35*Tables!$F$24</f>
        <v>0</v>
      </c>
      <c r="L188" s="76">
        <f>E188*0.09</f>
        <v>0</v>
      </c>
      <c r="M188" s="76">
        <f>E188*2.5*IF(F26&gt;0,1.25,1)</f>
        <v>0</v>
      </c>
      <c r="N188" s="84"/>
      <c r="O188" s="94">
        <f>E188*0.025</f>
        <v>0</v>
      </c>
      <c r="P188" s="83"/>
      <c r="Q188" s="56"/>
    </row>
    <row r="189" spans="1:17" ht="12.75">
      <c r="A189" s="54"/>
      <c r="B189" s="47"/>
      <c r="C189" s="276" t="s">
        <v>1050</v>
      </c>
      <c r="D189" s="271"/>
      <c r="E189" s="271"/>
      <c r="F189" s="71">
        <v>0</v>
      </c>
      <c r="G189" s="271"/>
      <c r="H189" s="271"/>
      <c r="I189" s="271"/>
      <c r="J189" s="272" t="str">
        <f>IF(F189=0,"None",CONCATENATE(ROUND(Tables!G58*100,2),"cm thick"))</f>
        <v>None</v>
      </c>
      <c r="K189" s="68">
        <f>Tables!F58*Tables!G58*StealthVolMod</f>
        <v>0</v>
      </c>
      <c r="L189" s="68">
        <f>K189*Tables!$F$10</f>
        <v>0</v>
      </c>
      <c r="M189" s="70"/>
      <c r="N189" s="68">
        <f>0.001*K189*Tables!$F$12</f>
        <v>0</v>
      </c>
      <c r="O189" s="81">
        <f>Tables!$F$11*K189</f>
        <v>0</v>
      </c>
      <c r="P189" s="83"/>
      <c r="Q189" s="56"/>
    </row>
    <row r="190" spans="1:17" ht="12.75">
      <c r="A190" s="54"/>
      <c r="B190" s="131"/>
      <c r="C190" s="40" t="s">
        <v>765</v>
      </c>
      <c r="D190" s="35" t="s">
        <v>903</v>
      </c>
      <c r="E190" s="35" t="s">
        <v>904</v>
      </c>
      <c r="F190" s="35" t="s">
        <v>905</v>
      </c>
      <c r="G190" s="35" t="s">
        <v>906</v>
      </c>
      <c r="H190" s="35" t="s">
        <v>907</v>
      </c>
      <c r="I190" s="35" t="s">
        <v>908</v>
      </c>
      <c r="J190" s="35" t="s">
        <v>909</v>
      </c>
      <c r="K190" s="15" t="s">
        <v>910</v>
      </c>
      <c r="L190" s="15" t="s">
        <v>911</v>
      </c>
      <c r="M190" s="15" t="s">
        <v>912</v>
      </c>
      <c r="N190" s="15" t="s">
        <v>913</v>
      </c>
      <c r="O190" s="73" t="s">
        <v>914</v>
      </c>
      <c r="P190" s="136"/>
      <c r="Q190" s="56"/>
    </row>
    <row r="191" spans="1:17" ht="12.75">
      <c r="A191" s="54"/>
      <c r="B191" s="47"/>
      <c r="C191" s="254" t="s">
        <v>1051</v>
      </c>
      <c r="D191" s="268"/>
      <c r="E191" s="65">
        <v>0</v>
      </c>
      <c r="F191" s="65">
        <v>0</v>
      </c>
      <c r="G191" s="65">
        <v>1</v>
      </c>
      <c r="H191" s="268"/>
      <c r="I191" s="268"/>
      <c r="J191" s="268"/>
      <c r="K191" s="74">
        <f>F191*14*E191</f>
        <v>0</v>
      </c>
      <c r="L191" s="74">
        <f>K191*G191</f>
        <v>0</v>
      </c>
      <c r="M191" s="84"/>
      <c r="N191" s="84"/>
      <c r="O191" s="96"/>
      <c r="P191" s="83"/>
      <c r="Q191" s="56"/>
    </row>
    <row r="192" spans="1:17" ht="12.75">
      <c r="A192" s="54"/>
      <c r="B192" s="47"/>
      <c r="C192" s="262" t="s">
        <v>1052</v>
      </c>
      <c r="D192" s="268"/>
      <c r="E192" s="65">
        <v>0</v>
      </c>
      <c r="F192" s="268"/>
      <c r="G192" s="268"/>
      <c r="H192" s="268"/>
      <c r="I192" s="268"/>
      <c r="J192" s="268"/>
      <c r="K192" s="84"/>
      <c r="L192" s="84"/>
      <c r="M192" s="76">
        <f>E192*20*Tables!$F$25</f>
        <v>0</v>
      </c>
      <c r="N192" s="84"/>
      <c r="O192" s="94">
        <f>E192*0.02</f>
        <v>0</v>
      </c>
      <c r="P192" s="83"/>
      <c r="Q192" s="56"/>
    </row>
    <row r="193" spans="1:17" ht="12.75">
      <c r="A193" s="54"/>
      <c r="B193" s="47"/>
      <c r="C193" s="262" t="s">
        <v>1053</v>
      </c>
      <c r="D193" s="268"/>
      <c r="E193" s="65">
        <v>0</v>
      </c>
      <c r="F193" s="268"/>
      <c r="G193" s="268"/>
      <c r="H193" s="268"/>
      <c r="I193" s="268"/>
      <c r="J193" s="268"/>
      <c r="K193" s="84"/>
      <c r="L193" s="84"/>
      <c r="M193" s="76">
        <f>E193*12*Tables!$F$25</f>
        <v>0</v>
      </c>
      <c r="N193" s="84"/>
      <c r="O193" s="94">
        <f>E193*0.012</f>
        <v>0</v>
      </c>
      <c r="P193" s="83"/>
      <c r="Q193" s="56"/>
    </row>
    <row r="194" spans="1:17" ht="12.75">
      <c r="A194" s="54"/>
      <c r="B194" s="47"/>
      <c r="C194" s="177" t="s">
        <v>1054</v>
      </c>
      <c r="D194" s="455">
        <v>12</v>
      </c>
      <c r="E194" s="65">
        <v>0</v>
      </c>
      <c r="F194" s="65">
        <v>0</v>
      </c>
      <c r="G194" s="268"/>
      <c r="H194" s="268"/>
      <c r="I194" s="268"/>
      <c r="J194" s="268"/>
      <c r="K194" s="76">
        <f>F194/D194*E194</f>
        <v>0</v>
      </c>
      <c r="L194" s="76">
        <f>K194</f>
        <v>0</v>
      </c>
      <c r="M194" s="84"/>
      <c r="N194" s="76">
        <f>F194*0.001*E194</f>
        <v>0</v>
      </c>
      <c r="O194" s="96"/>
      <c r="P194" s="83"/>
      <c r="Q194" s="56"/>
    </row>
    <row r="195" spans="1:17" ht="12.75">
      <c r="A195" s="54"/>
      <c r="B195" s="47"/>
      <c r="C195" s="177" t="s">
        <v>1055</v>
      </c>
      <c r="D195" s="268"/>
      <c r="E195" s="65">
        <v>0</v>
      </c>
      <c r="F195" s="65">
        <v>0</v>
      </c>
      <c r="G195" s="268"/>
      <c r="H195" s="268"/>
      <c r="I195" s="268"/>
      <c r="J195" s="268"/>
      <c r="K195" s="84"/>
      <c r="L195" s="84"/>
      <c r="M195" s="76">
        <f>E195*F195*Tables!$F$25</f>
        <v>0</v>
      </c>
      <c r="N195" s="84"/>
      <c r="O195" s="94">
        <f>M195*0.001</f>
        <v>0</v>
      </c>
      <c r="P195" s="83"/>
      <c r="Q195" s="56"/>
    </row>
    <row r="196" spans="1:17" ht="12.75">
      <c r="A196" s="54"/>
      <c r="B196" s="47"/>
      <c r="C196" s="177" t="s">
        <v>1056</v>
      </c>
      <c r="D196" s="269"/>
      <c r="E196" s="159">
        <v>0</v>
      </c>
      <c r="F196" s="65">
        <v>0</v>
      </c>
      <c r="G196" s="159">
        <v>0</v>
      </c>
      <c r="H196" s="159">
        <v>0</v>
      </c>
      <c r="I196" s="159">
        <v>1</v>
      </c>
      <c r="J196" s="274" t="str">
        <f>IF(F196=0," ",CONCATENATE(ROUND(F196,1),"std ",CHOOSE((G196+1),"USL ","SL ","AF "),IF(H196&gt;0,"Un","")))</f>
        <v> </v>
      </c>
      <c r="K196" s="76">
        <f>(CHOOSE((G196+1),0.05,0.15,0.25)*14*E196*F196*D10)+(E196*F196*14)</f>
        <v>0</v>
      </c>
      <c r="L196" s="76">
        <f>K196+((I196-1)*E196*F196*14)</f>
        <v>0</v>
      </c>
      <c r="M196" s="76">
        <f>E196*(((6*(F196*14))/PI())^(1/3)*2.58)*(((6*(F196*14))/PI())^(1/3)*0.52)*Tables!$F$25</f>
        <v>0</v>
      </c>
      <c r="N196" s="84"/>
      <c r="O196" s="94">
        <f>CHOOSE((G196+1),0.001,0.002,0.003)*F196*IF(H196&gt;0,1.25,1)</f>
        <v>0</v>
      </c>
      <c r="P196" s="83"/>
      <c r="Q196" s="56"/>
    </row>
    <row r="197" spans="1:17" ht="12.75">
      <c r="A197" s="54"/>
      <c r="B197" s="47"/>
      <c r="C197" s="276" t="s">
        <v>1057</v>
      </c>
      <c r="D197" s="271"/>
      <c r="E197" s="271"/>
      <c r="F197" s="65">
        <v>0</v>
      </c>
      <c r="G197" s="271"/>
      <c r="H197" s="271"/>
      <c r="I197" s="271"/>
      <c r="J197" s="272" t="str">
        <f>IF(F197=0,"None",CONCATENATE(ROUND(Tables!G60*100,2),"cm thick"))</f>
        <v>None</v>
      </c>
      <c r="K197" s="68">
        <f>Tables!F60*Tables!G60*StealthVolMod</f>
        <v>0</v>
      </c>
      <c r="L197" s="68">
        <f>K197*Tables!$F$10</f>
        <v>0</v>
      </c>
      <c r="M197" s="70"/>
      <c r="N197" s="68">
        <f>0.001*K197*Tables!$F$12</f>
        <v>0</v>
      </c>
      <c r="O197" s="81">
        <f>Tables!$F$11*K197</f>
        <v>0</v>
      </c>
      <c r="P197" s="83"/>
      <c r="Q197" s="56"/>
    </row>
    <row r="198" spans="1:17" ht="12.75">
      <c r="A198" s="54"/>
      <c r="B198" s="131"/>
      <c r="C198" s="40" t="s">
        <v>306</v>
      </c>
      <c r="D198" s="35" t="s">
        <v>903</v>
      </c>
      <c r="E198" s="35" t="s">
        <v>904</v>
      </c>
      <c r="F198" s="35" t="s">
        <v>905</v>
      </c>
      <c r="G198" s="35" t="s">
        <v>906</v>
      </c>
      <c r="H198" s="35" t="s">
        <v>907</v>
      </c>
      <c r="I198" s="35" t="s">
        <v>908</v>
      </c>
      <c r="J198" s="35" t="s">
        <v>909</v>
      </c>
      <c r="K198" s="15" t="s">
        <v>910</v>
      </c>
      <c r="L198" s="15" t="s">
        <v>911</v>
      </c>
      <c r="M198" s="15" t="s">
        <v>912</v>
      </c>
      <c r="N198" s="15" t="s">
        <v>913</v>
      </c>
      <c r="O198" s="73" t="s">
        <v>914</v>
      </c>
      <c r="P198" s="136"/>
      <c r="Q198" s="56"/>
    </row>
    <row r="199" spans="1:17" ht="12.75">
      <c r="A199" s="54"/>
      <c r="B199" s="131"/>
      <c r="C199" s="177" t="s">
        <v>1058</v>
      </c>
      <c r="D199" s="268"/>
      <c r="E199" s="268"/>
      <c r="F199" s="65">
        <v>0</v>
      </c>
      <c r="G199" s="268"/>
      <c r="H199" s="268"/>
      <c r="I199" s="268"/>
      <c r="J199" s="274" t="str">
        <f>IF(F199=0," ",CONCATENATE(ROUND(F199,1),"std"))</f>
        <v> </v>
      </c>
      <c r="K199" s="76">
        <f>F199*14</f>
        <v>0</v>
      </c>
      <c r="L199" s="76">
        <f>K199*0.07</f>
        <v>0</v>
      </c>
      <c r="M199" s="84"/>
      <c r="N199" s="84"/>
      <c r="O199" s="96"/>
      <c r="P199" s="136"/>
      <c r="Q199" s="56"/>
    </row>
    <row r="200" spans="1:17" ht="12.75">
      <c r="A200" s="54"/>
      <c r="B200" s="47"/>
      <c r="C200" s="254" t="s">
        <v>1059</v>
      </c>
      <c r="D200" s="268"/>
      <c r="E200" s="65">
        <v>0</v>
      </c>
      <c r="F200" s="65">
        <v>0</v>
      </c>
      <c r="G200" s="65">
        <v>0</v>
      </c>
      <c r="H200" s="268"/>
      <c r="I200" s="268"/>
      <c r="J200" s="274" t="str">
        <f>IF(F200=0," ",CONCATENATE(ROUND(F200,1),"std ",CHOOSE((G200+1),"USL ","SL ","AF ")))</f>
        <v> </v>
      </c>
      <c r="K200" s="76">
        <f>(CHOOSE((G200+1),0.05,0.15,0.25)*14*E200*F200*D10)+(F200*E200*14)</f>
        <v>0</v>
      </c>
      <c r="L200" s="76">
        <f>(E200*F200*14*0.07)+K200</f>
        <v>0</v>
      </c>
      <c r="M200" s="76">
        <f>E200*(((6*(F200*14))/PI())^(1/3)*2.58)*(((6*(F200*14))/PI())^(1/3)*0.52)*Tables!$F$25</f>
        <v>0</v>
      </c>
      <c r="N200" s="84"/>
      <c r="O200" s="94">
        <f>CHOOSE((G200+1),0.001,0.002,0.003)*F19*0.15</f>
        <v>0.00225</v>
      </c>
      <c r="P200" s="83"/>
      <c r="Q200" s="56"/>
    </row>
    <row r="201" spans="1:17" ht="12.75">
      <c r="A201" s="54"/>
      <c r="B201" s="47"/>
      <c r="C201" s="177" t="s">
        <v>1060</v>
      </c>
      <c r="D201" s="268"/>
      <c r="E201" s="65">
        <v>0</v>
      </c>
      <c r="F201" s="268"/>
      <c r="G201" s="268"/>
      <c r="H201" s="268"/>
      <c r="I201" s="268"/>
      <c r="J201" s="274" t="str">
        <f>IF(E201=0," ",IF(F21=0,"Unstreamlined",IF(F22&lt;4,"Non-hypersonic",CONCATENATE(ROUND((E201*0.04*Tables!$F$3),0),"m3/hr"))))</f>
        <v> </v>
      </c>
      <c r="K201" s="84"/>
      <c r="L201" s="84"/>
      <c r="M201" s="76">
        <f>IF(E201=0,0,IF(F21=0,#VALUE!,IF(F22&lt;4,#VALUE!,E201*0.01*Tables!$F$4)))*Tables!$F$25</f>
        <v>0</v>
      </c>
      <c r="N201" s="84"/>
      <c r="O201" s="94">
        <f>M201*0.000075</f>
        <v>0</v>
      </c>
      <c r="P201" s="83"/>
      <c r="Q201" s="56"/>
    </row>
    <row r="202" spans="1:17" ht="12.75">
      <c r="A202" s="54"/>
      <c r="B202" s="47"/>
      <c r="C202" s="263" t="s">
        <v>1061</v>
      </c>
      <c r="D202" s="455">
        <v>12</v>
      </c>
      <c r="E202" s="65">
        <v>0</v>
      </c>
      <c r="F202" s="159">
        <v>0</v>
      </c>
      <c r="G202" s="268"/>
      <c r="H202" s="268"/>
      <c r="I202" s="268"/>
      <c r="J202" s="274" t="str">
        <f>IF(E202=0," ",IF(D202&lt;8,"TL Violation",CONCATENATE(ROUND(Tables!K29,1),"hr")))</f>
        <v> </v>
      </c>
      <c r="K202" s="76">
        <f>IF(E202=0,0,IF(D202&lt;8,#VALUE!,Tables!K27))</f>
        <v>0</v>
      </c>
      <c r="L202" s="76">
        <f>IF(E202=0,0,IF(D202&lt;8,A202,Tables!K33))</f>
        <v>0</v>
      </c>
      <c r="M202" s="84"/>
      <c r="N202" s="78">
        <f>IF(E202=0,0,IF(D202&lt;8,#VALUE!,Tables!K35))</f>
        <v>0</v>
      </c>
      <c r="O202" s="94">
        <f>IF(E202=0,0,IF(D202&lt;8,#VALUE!,Tables!K37))</f>
        <v>0</v>
      </c>
      <c r="P202" s="83"/>
      <c r="Q202" s="56"/>
    </row>
    <row r="203" spans="1:17" ht="12.75">
      <c r="A203" s="54"/>
      <c r="B203" s="47"/>
      <c r="C203" s="304" t="s">
        <v>1062</v>
      </c>
      <c r="D203" s="455">
        <v>12</v>
      </c>
      <c r="E203" s="65">
        <v>0</v>
      </c>
      <c r="F203" s="159">
        <v>0</v>
      </c>
      <c r="G203" s="268"/>
      <c r="H203" s="268"/>
      <c r="I203" s="268"/>
      <c r="J203" s="274" t="str">
        <f>IF(E203=0," ",IF(D203&lt;8,"TL Violation",CONCATENATE(ROUND(Tables!K30,1),"hr")))</f>
        <v> </v>
      </c>
      <c r="K203" s="76">
        <f>IF(E203=0,0,IF(D203&lt;8,#VALUE!,Tables!K28))</f>
        <v>0</v>
      </c>
      <c r="L203" s="76">
        <f>IF(E203=0,0,IF(D203&lt;8,A203,Tables!K34))</f>
        <v>0</v>
      </c>
      <c r="M203" s="84"/>
      <c r="N203" s="78">
        <f>IF(E203=0,0,IF(D203&lt;8,#VALUE!,Tables!K36))</f>
        <v>0</v>
      </c>
      <c r="O203" s="94">
        <f>IF(E203=0,0,IF(D203&lt;8,#VALUE!,Tables!K38))</f>
        <v>0</v>
      </c>
      <c r="P203" s="83"/>
      <c r="Q203" s="56"/>
    </row>
    <row r="204" spans="1:17" ht="12.75">
      <c r="A204" s="54"/>
      <c r="B204" s="47"/>
      <c r="C204" s="298" t="s">
        <v>1063</v>
      </c>
      <c r="D204" s="271"/>
      <c r="E204" s="271"/>
      <c r="F204" s="159">
        <v>0</v>
      </c>
      <c r="G204" s="271"/>
      <c r="H204" s="271"/>
      <c r="I204" s="271"/>
      <c r="J204" s="272" t="str">
        <f>IF(F204=0,"None",CONCATENATE(ROUND(Tables!G62*100,2),"cm thick"))</f>
        <v>None</v>
      </c>
      <c r="K204" s="68">
        <f>Tables!F62*Tables!G62*StealthVolMod</f>
        <v>0</v>
      </c>
      <c r="L204" s="68">
        <f>K204*Tables!$F$10</f>
        <v>0</v>
      </c>
      <c r="M204" s="70"/>
      <c r="N204" s="68">
        <f>0.001*K204*Tables!$F$12</f>
        <v>0</v>
      </c>
      <c r="O204" s="81">
        <f>Tables!$F$11*K204</f>
        <v>0</v>
      </c>
      <c r="P204" s="83"/>
      <c r="Q204" s="56"/>
    </row>
    <row r="205" spans="1:17" ht="12.75">
      <c r="A205" s="54"/>
      <c r="B205" s="131"/>
      <c r="C205" s="40" t="s">
        <v>1064</v>
      </c>
      <c r="D205" s="35" t="s">
        <v>903</v>
      </c>
      <c r="E205" s="35" t="s">
        <v>904</v>
      </c>
      <c r="F205" s="35" t="s">
        <v>905</v>
      </c>
      <c r="G205" s="35" t="s">
        <v>906</v>
      </c>
      <c r="H205" s="35" t="s">
        <v>907</v>
      </c>
      <c r="I205" s="35" t="s">
        <v>908</v>
      </c>
      <c r="J205" s="35" t="s">
        <v>909</v>
      </c>
      <c r="K205" s="15" t="s">
        <v>910</v>
      </c>
      <c r="L205" s="15" t="s">
        <v>911</v>
      </c>
      <c r="M205" s="15" t="s">
        <v>912</v>
      </c>
      <c r="N205" s="15" t="s">
        <v>913</v>
      </c>
      <c r="O205" s="73" t="s">
        <v>914</v>
      </c>
      <c r="P205" s="136"/>
      <c r="Q205" s="56"/>
    </row>
    <row r="206" spans="1:17" ht="12.75">
      <c r="A206" s="54"/>
      <c r="B206" s="47"/>
      <c r="C206" s="254" t="s">
        <v>1065</v>
      </c>
      <c r="D206" s="267"/>
      <c r="E206" s="158">
        <v>2</v>
      </c>
      <c r="F206" s="273">
        <f>IF(D12=1,MAX(IF(E44&gt;0,1,0)+IF(E34+E37+E40&gt;0,1,0),ROUNDUP(3*LOG10(CM*(Vol/140)),0)),IF(E44&gt;0,1,0)+IF(E34+E37+E40&gt;0,1,0))</f>
        <v>2</v>
      </c>
      <c r="G206" s="267"/>
      <c r="H206" s="267"/>
      <c r="I206" s="267"/>
      <c r="J206" s="267"/>
      <c r="K206" s="82"/>
      <c r="L206" s="82"/>
      <c r="M206" s="82"/>
      <c r="N206" s="82"/>
      <c r="O206" s="107"/>
      <c r="P206" s="83"/>
      <c r="Q206" s="56"/>
    </row>
    <row r="207" spans="1:17" ht="12.75">
      <c r="A207" s="54"/>
      <c r="B207" s="47"/>
      <c r="C207" s="177" t="s">
        <v>554</v>
      </c>
      <c r="D207" s="268"/>
      <c r="E207" s="65">
        <v>1</v>
      </c>
      <c r="F207" s="274">
        <f>INT((E94+E96+E98+E100+E104+E106+E108+E110+E112+E122+E124+E128+E130+E114+E116+E118)*CM)</f>
        <v>1</v>
      </c>
      <c r="G207" s="268"/>
      <c r="H207" s="268"/>
      <c r="I207" s="268"/>
      <c r="J207" s="268"/>
      <c r="K207" s="84"/>
      <c r="L207" s="84"/>
      <c r="M207" s="84"/>
      <c r="N207" s="84"/>
      <c r="O207" s="96"/>
      <c r="P207" s="83"/>
      <c r="Q207" s="56"/>
    </row>
    <row r="208" spans="1:17" ht="12.75">
      <c r="A208" s="54"/>
      <c r="B208" s="47"/>
      <c r="C208" s="177" t="s">
        <v>1066</v>
      </c>
      <c r="D208" s="268"/>
      <c r="E208" s="65">
        <v>1</v>
      </c>
      <c r="F208" s="274">
        <f>INT(CM*((SUM(N138:N153)/30)+((L34+L37+L40+L44)/60)))</f>
        <v>1</v>
      </c>
      <c r="G208" s="268"/>
      <c r="H208" s="268"/>
      <c r="I208" s="268"/>
      <c r="J208" s="268"/>
      <c r="K208" s="84"/>
      <c r="L208" s="84"/>
      <c r="M208" s="84"/>
      <c r="N208" s="84"/>
      <c r="O208" s="96"/>
      <c r="P208" s="83"/>
      <c r="Q208" s="56"/>
    </row>
    <row r="209" spans="1:17" ht="12.75">
      <c r="A209" s="54"/>
      <c r="B209" s="47"/>
      <c r="C209" s="177" t="s">
        <v>1067</v>
      </c>
      <c r="D209" s="268"/>
      <c r="E209" s="65">
        <v>0</v>
      </c>
      <c r="F209" s="274">
        <f>MAX(0,INT(CM*((L34+L36+L37+L39+L40+L41+L42+L43+L44+L47+SUM(L54:L63)+SUM(L65:L77)+SUM(L82:L131)+SUM(L159:L170)+L138+L140+L141+L143+L144+L146+L146+L147+L149+L150+L152+L153)/500))-INT(E213/6))</f>
        <v>0</v>
      </c>
      <c r="G209" s="268"/>
      <c r="H209" s="268"/>
      <c r="I209" s="268"/>
      <c r="J209" s="268"/>
      <c r="K209" s="84"/>
      <c r="L209" s="84"/>
      <c r="M209" s="84"/>
      <c r="N209" s="84"/>
      <c r="O209" s="96"/>
      <c r="P209" s="83"/>
      <c r="Q209" s="56"/>
    </row>
    <row r="210" spans="1:17" ht="12.75">
      <c r="A210" s="54"/>
      <c r="B210" s="47"/>
      <c r="C210" s="177" t="s">
        <v>1068</v>
      </c>
      <c r="D210" s="268"/>
      <c r="E210" s="65">
        <v>0</v>
      </c>
      <c r="F210" s="274">
        <f>(E54*Las1!D63)+(E55*Las2!D63)+(E56*Las3!D63)+(E57*Las4!D63)+(E58*Mis1!D97)+(E59*Mis2!D97)+(PA1!D63*E60)+(PA2!D63*E61)+(Mes1!D59*E62)+(Mes2!D59*E63)</f>
        <v>0</v>
      </c>
      <c r="G210" s="268"/>
      <c r="H210" s="268"/>
      <c r="I210" s="268"/>
      <c r="J210" s="268"/>
      <c r="K210" s="84"/>
      <c r="L210" s="84"/>
      <c r="M210" s="84"/>
      <c r="N210" s="84"/>
      <c r="O210" s="96"/>
      <c r="P210" s="83"/>
      <c r="Q210" s="56"/>
    </row>
    <row r="211" spans="1:17" ht="12.75">
      <c r="A211" s="54"/>
      <c r="B211" s="47"/>
      <c r="C211" s="177" t="s">
        <v>1069</v>
      </c>
      <c r="D211" s="268"/>
      <c r="E211" s="65">
        <v>0</v>
      </c>
      <c r="F211" s="274">
        <f>G73+H77+E78+Tables!E503+Tables!E492</f>
        <v>0</v>
      </c>
      <c r="G211" s="268"/>
      <c r="H211" s="268"/>
      <c r="I211" s="268"/>
      <c r="J211" s="268"/>
      <c r="K211" s="84"/>
      <c r="L211" s="84"/>
      <c r="M211" s="84"/>
      <c r="N211" s="84"/>
      <c r="O211" s="96"/>
      <c r="P211" s="83"/>
      <c r="Q211" s="56"/>
    </row>
    <row r="212" spans="1:17" ht="12.75">
      <c r="A212" s="54"/>
      <c r="B212" s="47"/>
      <c r="C212" s="177" t="s">
        <v>1070</v>
      </c>
      <c r="D212" s="268"/>
      <c r="E212" s="65">
        <v>0</v>
      </c>
      <c r="F212" s="268"/>
      <c r="G212" s="268"/>
      <c r="H212" s="268"/>
      <c r="I212" s="268"/>
      <c r="J212" s="268"/>
      <c r="K212" s="84"/>
      <c r="L212" s="84"/>
      <c r="M212" s="84"/>
      <c r="N212" s="84"/>
      <c r="O212" s="96"/>
      <c r="P212" s="83"/>
      <c r="Q212" s="56"/>
    </row>
    <row r="213" spans="1:17" ht="12.75">
      <c r="A213" s="54"/>
      <c r="B213" s="47"/>
      <c r="C213" s="177" t="s">
        <v>1071</v>
      </c>
      <c r="D213" s="268"/>
      <c r="E213" s="65">
        <v>0</v>
      </c>
      <c r="F213" s="268"/>
      <c r="G213" s="268"/>
      <c r="H213" s="268"/>
      <c r="I213" s="268"/>
      <c r="J213" s="268"/>
      <c r="K213" s="84"/>
      <c r="L213" s="84"/>
      <c r="M213" s="84"/>
      <c r="N213" s="84"/>
      <c r="O213" s="96"/>
      <c r="P213" s="83"/>
      <c r="Q213" s="56"/>
    </row>
    <row r="214" spans="1:17" ht="12.75">
      <c r="A214" s="54"/>
      <c r="B214" s="47"/>
      <c r="C214" s="177" t="s">
        <v>1072</v>
      </c>
      <c r="D214" s="268"/>
      <c r="E214" s="65">
        <v>0</v>
      </c>
      <c r="F214" s="274">
        <f>INT((E206+E207+E208+E209+E210+E211+E212+E213)/6)</f>
        <v>0</v>
      </c>
      <c r="G214" s="268"/>
      <c r="H214" s="268"/>
      <c r="I214" s="268"/>
      <c r="J214" s="268"/>
      <c r="K214" s="84"/>
      <c r="L214" s="84"/>
      <c r="M214" s="84"/>
      <c r="N214" s="84"/>
      <c r="O214" s="96"/>
      <c r="P214" s="83"/>
      <c r="Q214" s="56"/>
    </row>
    <row r="215" spans="1:17" ht="12.75">
      <c r="A215" s="54"/>
      <c r="B215" s="47"/>
      <c r="C215" s="177" t="s">
        <v>1073</v>
      </c>
      <c r="D215" s="268"/>
      <c r="E215" s="65">
        <v>0</v>
      </c>
      <c r="F215" s="274">
        <f>IF(E222&gt;0,MAX(1,INT((E214+E222)/8+(E206+E207+E208+E209+E210+E212+E213+E223)/50)),INT((E214+E222)/8+(E206+E207+E208+E209+E210+E212+E213+E223)/50))</f>
        <v>0</v>
      </c>
      <c r="G215" s="268"/>
      <c r="H215" s="268"/>
      <c r="I215" s="268"/>
      <c r="J215" s="268"/>
      <c r="K215" s="84"/>
      <c r="L215" s="84"/>
      <c r="M215" s="84"/>
      <c r="N215" s="84"/>
      <c r="O215" s="96"/>
      <c r="P215" s="83"/>
      <c r="Q215" s="56"/>
    </row>
    <row r="216" spans="1:17" ht="12.75">
      <c r="A216" s="54"/>
      <c r="B216" s="47"/>
      <c r="C216" s="177" t="s">
        <v>1074</v>
      </c>
      <c r="D216" s="268"/>
      <c r="E216" s="65">
        <v>0</v>
      </c>
      <c r="F216" s="274">
        <f>ROUND(E221/(F18+F28)/1000*E216,0)</f>
        <v>0</v>
      </c>
      <c r="G216" s="268"/>
      <c r="H216" s="268"/>
      <c r="I216" s="268"/>
      <c r="J216" s="268"/>
      <c r="K216" s="84"/>
      <c r="L216" s="84"/>
      <c r="M216" s="84"/>
      <c r="N216" s="84"/>
      <c r="O216" s="96"/>
      <c r="P216" s="83"/>
      <c r="Q216" s="56"/>
    </row>
    <row r="217" spans="1:17" ht="12.75">
      <c r="A217" s="54"/>
      <c r="B217" s="47"/>
      <c r="C217" s="177" t="s">
        <v>1075</v>
      </c>
      <c r="D217" s="268"/>
      <c r="E217" s="65">
        <v>0</v>
      </c>
      <c r="F217" s="274">
        <f>MAX(IF(SUM(E222:E223)&gt;0,1,0),INT((E206+E207+E208+E209+E210+E212+E213+E214+E215+E218+E219+E222+E223)/120+(F216+E224)/20))</f>
        <v>0</v>
      </c>
      <c r="G217" s="268"/>
      <c r="H217" s="268"/>
      <c r="I217" s="268"/>
      <c r="J217" s="268"/>
      <c r="K217" s="84"/>
      <c r="L217" s="84"/>
      <c r="M217" s="84"/>
      <c r="N217" s="84"/>
      <c r="O217" s="96"/>
      <c r="P217" s="83"/>
      <c r="Q217" s="56"/>
    </row>
    <row r="218" spans="1:17" ht="12.75">
      <c r="A218" s="54"/>
      <c r="B218" s="47"/>
      <c r="C218" s="177" t="s">
        <v>1076</v>
      </c>
      <c r="D218" s="268"/>
      <c r="E218" s="65">
        <v>0</v>
      </c>
      <c r="F218" s="268"/>
      <c r="G218" s="268"/>
      <c r="H218" s="268"/>
      <c r="I218" s="268"/>
      <c r="J218" s="274" t="str">
        <f>IF(E218=0," ",CONCATENATE(ROUND(ROUND(E218/36,0),0),"S, ",ROUND(ROUND(E218/6,0)-ROUND(E218/36,0),0),"O, ",ROUND(E218-ROUND(E218/6,0),0),"T"))</f>
        <v> </v>
      </c>
      <c r="K218" s="84"/>
      <c r="L218" s="84"/>
      <c r="M218" s="84"/>
      <c r="N218" s="84"/>
      <c r="O218" s="96"/>
      <c r="P218" s="83"/>
      <c r="Q218" s="56"/>
    </row>
    <row r="219" spans="1:17" ht="12.75">
      <c r="A219" s="54"/>
      <c r="B219" s="47"/>
      <c r="C219" s="177" t="s">
        <v>1077</v>
      </c>
      <c r="D219" s="268"/>
      <c r="E219" s="65">
        <v>0</v>
      </c>
      <c r="F219" s="268"/>
      <c r="G219" s="268"/>
      <c r="H219" s="268"/>
      <c r="I219" s="268"/>
      <c r="J219" s="268"/>
      <c r="K219" s="84"/>
      <c r="L219" s="84"/>
      <c r="M219" s="84"/>
      <c r="N219" s="84"/>
      <c r="O219" s="96"/>
      <c r="P219" s="83"/>
      <c r="Q219" s="56"/>
    </row>
    <row r="220" spans="1:17" ht="12.75">
      <c r="A220" s="54"/>
      <c r="B220" s="47"/>
      <c r="C220" s="262" t="s">
        <v>1078</v>
      </c>
      <c r="D220" s="268"/>
      <c r="E220" s="274">
        <f>E206+E207+E208+E209+E214</f>
        <v>4</v>
      </c>
      <c r="F220" s="274">
        <f>F206+F207+F208+F209+F214</f>
        <v>4</v>
      </c>
      <c r="G220" s="268"/>
      <c r="H220" s="268"/>
      <c r="I220" s="268"/>
      <c r="J220" s="268"/>
      <c r="K220" s="84"/>
      <c r="L220" s="84"/>
      <c r="M220" s="84"/>
      <c r="N220" s="84"/>
      <c r="O220" s="96"/>
      <c r="P220" s="83"/>
      <c r="Q220" s="56"/>
    </row>
    <row r="221" spans="1:17" ht="12.75">
      <c r="A221" s="54"/>
      <c r="B221" s="47"/>
      <c r="C221" s="262" t="s">
        <v>1079</v>
      </c>
      <c r="D221" s="268"/>
      <c r="E221" s="274">
        <f>E220+$E210+$E211+$E212+$E213+E215+E217</f>
        <v>4</v>
      </c>
      <c r="F221" s="274">
        <f>F220+$F210+$F211+$E212+$E213+F215+F217</f>
        <v>4</v>
      </c>
      <c r="G221" s="268"/>
      <c r="H221" s="268"/>
      <c r="I221" s="268"/>
      <c r="J221" s="268"/>
      <c r="K221" s="84"/>
      <c r="L221" s="84"/>
      <c r="M221" s="84"/>
      <c r="N221" s="84"/>
      <c r="O221" s="96"/>
      <c r="P221" s="83"/>
      <c r="Q221" s="56"/>
    </row>
    <row r="222" spans="1:17" ht="12.75">
      <c r="A222" s="54"/>
      <c r="B222" s="47"/>
      <c r="C222" s="177" t="s">
        <v>1080</v>
      </c>
      <c r="D222" s="268"/>
      <c r="E222" s="65">
        <v>0</v>
      </c>
      <c r="F222" s="268"/>
      <c r="G222" s="268"/>
      <c r="H222" s="268"/>
      <c r="I222" s="268"/>
      <c r="J222" s="268"/>
      <c r="K222" s="84"/>
      <c r="L222" s="84"/>
      <c r="M222" s="84"/>
      <c r="N222" s="84"/>
      <c r="O222" s="96"/>
      <c r="P222" s="83"/>
      <c r="Q222" s="56"/>
    </row>
    <row r="223" spans="1:17" ht="12.75">
      <c r="A223" s="54"/>
      <c r="B223" s="47"/>
      <c r="C223" s="177" t="s">
        <v>1081</v>
      </c>
      <c r="D223" s="268"/>
      <c r="E223" s="65">
        <v>0</v>
      </c>
      <c r="F223" s="268"/>
      <c r="G223" s="268"/>
      <c r="H223" s="268"/>
      <c r="I223" s="268"/>
      <c r="J223" s="268"/>
      <c r="K223" s="84"/>
      <c r="L223" s="84"/>
      <c r="M223" s="84"/>
      <c r="N223" s="84"/>
      <c r="O223" s="96"/>
      <c r="P223" s="83"/>
      <c r="Q223" s="56"/>
    </row>
    <row r="224" spans="1:17" ht="12.75">
      <c r="A224" s="54"/>
      <c r="B224" s="47"/>
      <c r="C224" s="263" t="s">
        <v>1082</v>
      </c>
      <c r="D224" s="269"/>
      <c r="E224" s="159">
        <v>0</v>
      </c>
      <c r="F224" s="269"/>
      <c r="G224" s="269"/>
      <c r="H224" s="269"/>
      <c r="I224" s="269"/>
      <c r="J224" s="269"/>
      <c r="K224" s="86"/>
      <c r="L224" s="86"/>
      <c r="M224" s="86"/>
      <c r="N224" s="86"/>
      <c r="O224" s="108"/>
      <c r="P224" s="83"/>
      <c r="Q224" s="56"/>
    </row>
    <row r="225" spans="1:17" ht="12.75">
      <c r="A225" s="54"/>
      <c r="B225" s="47"/>
      <c r="C225" s="265" t="s">
        <v>1083</v>
      </c>
      <c r="D225" s="20"/>
      <c r="E225" s="309">
        <f>SUM(E221:E224)</f>
        <v>4</v>
      </c>
      <c r="F225" s="24">
        <f>F221+SUM(E222:E224)</f>
        <v>4</v>
      </c>
      <c r="G225" s="20"/>
      <c r="H225" s="20"/>
      <c r="I225" s="20"/>
      <c r="J225" s="20"/>
      <c r="K225" s="87"/>
      <c r="L225" s="87"/>
      <c r="M225" s="87"/>
      <c r="N225" s="87"/>
      <c r="O225" s="115"/>
      <c r="P225" s="83"/>
      <c r="Q225" s="56"/>
    </row>
    <row r="226" spans="1:17" ht="14.25" thickBot="1" thickTop="1">
      <c r="A226" s="54"/>
      <c r="B226" s="47"/>
      <c r="C226" s="40" t="s">
        <v>321</v>
      </c>
      <c r="D226" s="35" t="s">
        <v>903</v>
      </c>
      <c r="E226" s="35" t="s">
        <v>904</v>
      </c>
      <c r="F226" s="35" t="s">
        <v>905</v>
      </c>
      <c r="G226" s="35" t="s">
        <v>906</v>
      </c>
      <c r="H226" s="35" t="s">
        <v>907</v>
      </c>
      <c r="I226" s="35" t="s">
        <v>908</v>
      </c>
      <c r="J226" s="35" t="s">
        <v>909</v>
      </c>
      <c r="K226" s="15" t="s">
        <v>910</v>
      </c>
      <c r="L226" s="15" t="s">
        <v>911</v>
      </c>
      <c r="M226" s="15" t="s">
        <v>912</v>
      </c>
      <c r="N226" s="15" t="s">
        <v>913</v>
      </c>
      <c r="O226" s="73" t="s">
        <v>914</v>
      </c>
      <c r="P226" s="136"/>
      <c r="Q226" s="56"/>
    </row>
    <row r="227" spans="1:17" ht="13.5" thickTop="1">
      <c r="A227" s="54"/>
      <c r="B227" s="47"/>
      <c r="C227" s="263" t="s">
        <v>1602</v>
      </c>
      <c r="D227" s="455">
        <v>12</v>
      </c>
      <c r="E227" s="164">
        <v>0</v>
      </c>
      <c r="F227" s="24">
        <f>IF(Vol&lt;1400,($F$206+$F$207+$F$208+$F$211+$F$214),0)</f>
        <v>0</v>
      </c>
      <c r="G227" s="20"/>
      <c r="H227" s="20"/>
      <c r="I227" s="20"/>
      <c r="J227" s="20"/>
      <c r="K227" s="78">
        <f>2.5*E227</f>
        <v>0</v>
      </c>
      <c r="L227" s="78">
        <f>IF(D227&lt;6,E227*0.1,E227*0.2)</f>
        <v>0</v>
      </c>
      <c r="M227" s="87"/>
      <c r="N227" s="87"/>
      <c r="O227" s="101">
        <f>CHOOSE((D227+1),0,0,0,0,0.0001,0.0002,0.0003,0.0005,0.00075,0.001,0.0015,0.0015,0.0015,0.002,0.002,0.002,0.002,0.0025,0.0025,0.0025,0.0025,0.003)*E227</f>
        <v>0</v>
      </c>
      <c r="P227" s="136"/>
      <c r="Q227" s="56"/>
    </row>
    <row r="228" spans="1:17" ht="12.75">
      <c r="A228" s="54"/>
      <c r="B228" s="47"/>
      <c r="C228" s="263" t="s">
        <v>1603</v>
      </c>
      <c r="D228" s="455">
        <v>12</v>
      </c>
      <c r="E228" s="164">
        <v>0</v>
      </c>
      <c r="F228" s="20"/>
      <c r="G228" s="20"/>
      <c r="H228" s="20"/>
      <c r="I228" s="20"/>
      <c r="J228" s="20"/>
      <c r="K228" s="78">
        <f>3.5*E228</f>
        <v>0</v>
      </c>
      <c r="L228" s="78">
        <f>IF(D228&lt;6,E228*0.1,E228*0.2)</f>
        <v>0</v>
      </c>
      <c r="M228" s="87"/>
      <c r="N228" s="87"/>
      <c r="O228" s="101">
        <f>CHOOSE((D228+1),0,0,0,0,0.0001,0.0002,0.0003,0.0005,0.00075,0.001,0.0015,0.0015,0.0015,0.002,0.002,0.002,0.002,0.0025,0.0025,0.0025,0.0025,0.003)*E228</f>
        <v>0</v>
      </c>
      <c r="P228" s="136"/>
      <c r="Q228" s="56"/>
    </row>
    <row r="229" spans="1:17" ht="12.75">
      <c r="A229" s="54"/>
      <c r="B229" s="47"/>
      <c r="C229" s="263" t="s">
        <v>1084</v>
      </c>
      <c r="D229" s="455">
        <v>12</v>
      </c>
      <c r="E229" s="164">
        <v>4</v>
      </c>
      <c r="F229" s="24">
        <f>IF(Vol&gt;=1400,($F$206+$F$207+$F$208+$F$211+$F$214)-F230,0)</f>
        <v>4</v>
      </c>
      <c r="G229" s="20"/>
      <c r="H229" s="20"/>
      <c r="I229" s="20"/>
      <c r="J229" s="20"/>
      <c r="K229" s="78">
        <f>E229*7</f>
        <v>28</v>
      </c>
      <c r="L229" s="78">
        <f>IF(D229&lt;6,E229*0.1,E229*0.2)</f>
        <v>0.8</v>
      </c>
      <c r="M229" s="87"/>
      <c r="N229" s="87"/>
      <c r="O229" s="101">
        <f>CHOOSE((D229+1),0,0,0,0,0.0001,0.0002,0.0003,0.0005,0.00075,0.001,0.0015,0.0015,0.0015,0.002,0.002,0.002,0.002,0.0025,0.0025,0.0025,0.0025,0.003)*E229</f>
        <v>0.006</v>
      </c>
      <c r="P229" s="83"/>
      <c r="Q229" s="56"/>
    </row>
    <row r="230" spans="1:17" ht="12.75">
      <c r="A230" s="54"/>
      <c r="B230" s="47"/>
      <c r="C230" s="263" t="s">
        <v>1085</v>
      </c>
      <c r="D230" s="455">
        <v>12</v>
      </c>
      <c r="E230" s="65">
        <v>0</v>
      </c>
      <c r="F230" s="38">
        <f>IF(Vol&gt;=1400,IF(F214&lt;2,0,F206+F207+F211+F214),0)</f>
        <v>0</v>
      </c>
      <c r="G230" s="268"/>
      <c r="H230" s="268"/>
      <c r="I230" s="268"/>
      <c r="J230" s="268"/>
      <c r="K230" s="78">
        <f>E230*14</f>
        <v>0</v>
      </c>
      <c r="L230" s="78">
        <f>IF(D230&lt;6,E230*0.1,E230*0.2)</f>
        <v>0</v>
      </c>
      <c r="M230" s="87"/>
      <c r="N230" s="87"/>
      <c r="O230" s="101">
        <f>CHOOSE((D230+1),0,0,0,0,0.0001,0.0002,0.0003,0.0005,0.00075,0.001,0.0015,0.0015,0.0015,0.002,0.002,0.002,0.002,0.0025,0.0025,0.0025,0.0025,0.003)*E230</f>
        <v>0</v>
      </c>
      <c r="P230" s="83"/>
      <c r="Q230" s="56"/>
    </row>
    <row r="231" spans="1:17" ht="13.5" thickBot="1">
      <c r="A231" s="54"/>
      <c r="B231" s="47"/>
      <c r="C231" s="298" t="s">
        <v>1086</v>
      </c>
      <c r="D231" s="271"/>
      <c r="E231" s="271"/>
      <c r="F231" s="165">
        <v>0</v>
      </c>
      <c r="G231" s="271"/>
      <c r="H231" s="271"/>
      <c r="I231" s="271"/>
      <c r="J231" s="274" t="str">
        <f>IF(F231=0,"None",CONCATENATE(ROUND(Tables!G64*100,2),"cm thick"))</f>
        <v>None</v>
      </c>
      <c r="K231" s="78">
        <f>Tables!F64*Tables!G64*Tables!F24</f>
        <v>0</v>
      </c>
      <c r="L231" s="78">
        <f>K231*Tables!$F$10</f>
        <v>0</v>
      </c>
      <c r="M231" s="86"/>
      <c r="N231" s="78">
        <f>0.001*K231*Tables!$F$12</f>
        <v>0</v>
      </c>
      <c r="O231" s="101">
        <f>Tables!$F$11*K231</f>
        <v>0</v>
      </c>
      <c r="P231" s="83"/>
      <c r="Q231" s="56"/>
    </row>
    <row r="232" spans="1:17" ht="12.75">
      <c r="A232" s="54"/>
      <c r="B232" s="131"/>
      <c r="C232" s="40" t="s">
        <v>326</v>
      </c>
      <c r="D232" s="35" t="s">
        <v>903</v>
      </c>
      <c r="E232" s="35" t="s">
        <v>904</v>
      </c>
      <c r="F232" s="35" t="s">
        <v>905</v>
      </c>
      <c r="G232" s="35" t="s">
        <v>906</v>
      </c>
      <c r="H232" s="35" t="s">
        <v>907</v>
      </c>
      <c r="I232" s="35" t="s">
        <v>908</v>
      </c>
      <c r="J232" s="35" t="s">
        <v>909</v>
      </c>
      <c r="K232" s="15" t="s">
        <v>910</v>
      </c>
      <c r="L232" s="15" t="s">
        <v>911</v>
      </c>
      <c r="M232" s="15" t="s">
        <v>912</v>
      </c>
      <c r="N232" s="15" t="s">
        <v>913</v>
      </c>
      <c r="O232" s="73" t="s">
        <v>914</v>
      </c>
      <c r="P232" s="136"/>
      <c r="Q232" s="56"/>
    </row>
    <row r="233" spans="1:17" ht="12.75">
      <c r="A233" s="54"/>
      <c r="B233" s="47"/>
      <c r="C233" s="254" t="s">
        <v>1087</v>
      </c>
      <c r="D233" s="267"/>
      <c r="E233" s="158">
        <v>0</v>
      </c>
      <c r="F233" s="267"/>
      <c r="G233" s="267"/>
      <c r="H233" s="267"/>
      <c r="I233" s="267"/>
      <c r="J233" s="267"/>
      <c r="K233" s="74">
        <f>E233*1.5</f>
        <v>0</v>
      </c>
      <c r="L233" s="74">
        <f>E233*0.02</f>
        <v>0</v>
      </c>
      <c r="M233" s="82"/>
      <c r="N233" s="82"/>
      <c r="O233" s="90">
        <f>E233*0.0001</f>
        <v>0</v>
      </c>
      <c r="P233" s="83"/>
      <c r="Q233" s="56"/>
    </row>
    <row r="234" spans="1:17" ht="12.75">
      <c r="A234" s="54"/>
      <c r="B234" s="47"/>
      <c r="C234" s="177" t="s">
        <v>1088</v>
      </c>
      <c r="D234" s="268"/>
      <c r="E234" s="65">
        <v>0</v>
      </c>
      <c r="F234" s="268"/>
      <c r="G234" s="268"/>
      <c r="H234" s="268"/>
      <c r="I234" s="268"/>
      <c r="J234" s="268"/>
      <c r="K234" s="76">
        <f>E234*2.5</f>
        <v>0</v>
      </c>
      <c r="L234" s="76">
        <f>E234*0.02</f>
        <v>0</v>
      </c>
      <c r="M234" s="84"/>
      <c r="N234" s="84"/>
      <c r="O234" s="94">
        <f>E234*0.0001</f>
        <v>0</v>
      </c>
      <c r="P234" s="83"/>
      <c r="Q234" s="56"/>
    </row>
    <row r="235" spans="1:17" ht="12.75">
      <c r="A235" s="54"/>
      <c r="B235" s="47"/>
      <c r="C235" s="177" t="s">
        <v>1089</v>
      </c>
      <c r="D235" s="268"/>
      <c r="E235" s="65">
        <v>0</v>
      </c>
      <c r="F235" s="268"/>
      <c r="G235" s="268"/>
      <c r="H235" s="268"/>
      <c r="I235" s="268"/>
      <c r="J235" s="268"/>
      <c r="K235" s="76">
        <f>E235*3.5</f>
        <v>0</v>
      </c>
      <c r="L235" s="76">
        <f>E235*0.02</f>
        <v>0</v>
      </c>
      <c r="M235" s="84"/>
      <c r="N235" s="84"/>
      <c r="O235" s="94">
        <f>E235*0.0001</f>
        <v>0</v>
      </c>
      <c r="P235" s="83"/>
      <c r="Q235" s="56"/>
    </row>
    <row r="236" spans="1:17" ht="12.75">
      <c r="A236" s="54"/>
      <c r="B236" s="47"/>
      <c r="C236" s="177" t="s">
        <v>1090</v>
      </c>
      <c r="D236" s="268"/>
      <c r="E236" s="65">
        <v>0</v>
      </c>
      <c r="F236" s="268"/>
      <c r="G236" s="268"/>
      <c r="H236" s="268"/>
      <c r="I236" s="268"/>
      <c r="J236" s="268"/>
      <c r="K236" s="76">
        <f>E236*7</f>
        <v>0</v>
      </c>
      <c r="L236" s="76">
        <f>E236*0.02</f>
        <v>0</v>
      </c>
      <c r="M236" s="84"/>
      <c r="N236" s="84"/>
      <c r="O236" s="94">
        <f>E236*0.0002</f>
        <v>0</v>
      </c>
      <c r="P236" s="83"/>
      <c r="Q236" s="56"/>
    </row>
    <row r="237" spans="1:17" ht="12.75">
      <c r="A237" s="54"/>
      <c r="B237" s="47"/>
      <c r="C237" s="177" t="s">
        <v>1091</v>
      </c>
      <c r="D237" s="268"/>
      <c r="E237" s="65">
        <v>0</v>
      </c>
      <c r="F237" s="268"/>
      <c r="G237" s="268"/>
      <c r="H237" s="268"/>
      <c r="I237" s="268"/>
      <c r="J237" s="268"/>
      <c r="K237" s="76">
        <f>E237*14</f>
        <v>0</v>
      </c>
      <c r="L237" s="76">
        <f>E237*0.5</f>
        <v>0</v>
      </c>
      <c r="M237" s="84"/>
      <c r="N237" s="84"/>
      <c r="O237" s="94">
        <f>E237*0.005</f>
        <v>0</v>
      </c>
      <c r="P237" s="83"/>
      <c r="Q237" s="56"/>
    </row>
    <row r="238" spans="1:17" ht="12.75">
      <c r="A238" s="54"/>
      <c r="B238" s="47"/>
      <c r="C238" s="177" t="s">
        <v>1092</v>
      </c>
      <c r="D238" s="268"/>
      <c r="E238" s="65">
        <v>0</v>
      </c>
      <c r="F238" s="268"/>
      <c r="G238" s="268"/>
      <c r="H238" s="268"/>
      <c r="I238" s="268"/>
      <c r="J238" s="268"/>
      <c r="K238" s="76">
        <f>E238*14</f>
        <v>0</v>
      </c>
      <c r="L238" s="76">
        <f>E238*1</f>
        <v>0</v>
      </c>
      <c r="M238" s="84"/>
      <c r="N238" s="76">
        <f>E238*0.001</f>
        <v>0</v>
      </c>
      <c r="O238" s="94">
        <f>E238*0.05</f>
        <v>0</v>
      </c>
      <c r="P238" s="83"/>
      <c r="Q238" s="56"/>
    </row>
    <row r="239" spans="1:17" ht="12.75">
      <c r="A239" s="54"/>
      <c r="B239" s="47"/>
      <c r="C239" s="177" t="s">
        <v>1093</v>
      </c>
      <c r="D239" s="268"/>
      <c r="E239" s="65">
        <v>0</v>
      </c>
      <c r="F239" s="268"/>
      <c r="G239" s="268"/>
      <c r="H239" s="268"/>
      <c r="I239" s="268"/>
      <c r="J239" s="268"/>
      <c r="K239" s="76">
        <f>E239*28</f>
        <v>0</v>
      </c>
      <c r="L239" s="76">
        <f>E239*2</f>
        <v>0</v>
      </c>
      <c r="M239" s="84"/>
      <c r="N239" s="76">
        <f>E239*0.002</f>
        <v>0</v>
      </c>
      <c r="O239" s="94">
        <f>E239*0.1</f>
        <v>0</v>
      </c>
      <c r="P239" s="83"/>
      <c r="Q239" s="56"/>
    </row>
    <row r="240" spans="1:17" ht="12.75">
      <c r="A240" s="54"/>
      <c r="B240" s="47"/>
      <c r="C240" s="177" t="s">
        <v>1094</v>
      </c>
      <c r="D240" s="268"/>
      <c r="E240" s="65">
        <v>4</v>
      </c>
      <c r="F240" s="268"/>
      <c r="G240" s="268"/>
      <c r="H240" s="268"/>
      <c r="I240" s="268"/>
      <c r="J240" s="268"/>
      <c r="K240" s="76">
        <f>E240*28</f>
        <v>112</v>
      </c>
      <c r="L240" s="76">
        <f>E240*2</f>
        <v>8</v>
      </c>
      <c r="M240" s="84"/>
      <c r="N240" s="76">
        <f>E240*0.0005</f>
        <v>0.002</v>
      </c>
      <c r="O240" s="94">
        <f>E240*0.04</f>
        <v>0.16</v>
      </c>
      <c r="P240" s="83"/>
      <c r="Q240" s="56"/>
    </row>
    <row r="241" spans="1:17" ht="12.75">
      <c r="A241" s="54"/>
      <c r="B241" s="47"/>
      <c r="C241" s="177" t="s">
        <v>1095</v>
      </c>
      <c r="D241" s="268"/>
      <c r="E241" s="65">
        <v>0</v>
      </c>
      <c r="F241" s="268"/>
      <c r="G241" s="268"/>
      <c r="H241" s="268"/>
      <c r="I241" s="268"/>
      <c r="J241" s="268"/>
      <c r="K241" s="76">
        <f>E241*56</f>
        <v>0</v>
      </c>
      <c r="L241" s="76">
        <f>E241*4</f>
        <v>0</v>
      </c>
      <c r="M241" s="84"/>
      <c r="N241" s="76">
        <f>E241*0.001</f>
        <v>0</v>
      </c>
      <c r="O241" s="94">
        <f>E241*0.1</f>
        <v>0</v>
      </c>
      <c r="P241" s="83"/>
      <c r="Q241" s="56"/>
    </row>
    <row r="242" spans="1:17" ht="12.75">
      <c r="A242" s="54"/>
      <c r="B242" s="47"/>
      <c r="C242" s="177" t="s">
        <v>1096</v>
      </c>
      <c r="D242" s="268"/>
      <c r="E242" s="159">
        <v>0</v>
      </c>
      <c r="F242" s="268"/>
      <c r="G242" s="268"/>
      <c r="H242" s="268"/>
      <c r="I242" s="268"/>
      <c r="J242" s="268"/>
      <c r="K242" s="77">
        <f>E242*3.5</f>
        <v>0</v>
      </c>
      <c r="L242" s="77">
        <f>E242*0.05</f>
        <v>0</v>
      </c>
      <c r="M242" s="86"/>
      <c r="N242" s="86"/>
      <c r="O242" s="95">
        <f>E242*0.0001</f>
        <v>0</v>
      </c>
      <c r="P242" s="83"/>
      <c r="Q242" s="56"/>
    </row>
    <row r="243" spans="1:17" ht="12.75">
      <c r="A243" s="54"/>
      <c r="B243" s="47"/>
      <c r="C243" s="298" t="s">
        <v>1097</v>
      </c>
      <c r="D243" s="271"/>
      <c r="E243" s="271"/>
      <c r="F243" s="71">
        <v>0</v>
      </c>
      <c r="G243" s="271"/>
      <c r="H243" s="271"/>
      <c r="I243" s="271"/>
      <c r="J243" s="274" t="str">
        <f>IF(F243=0,"None",CONCATENATE(ROUND(Tables!G66*100,2),"cm thick"))</f>
        <v>None</v>
      </c>
      <c r="K243" s="78">
        <f>Tables!F66*Tables!G66*StealthVolMod</f>
        <v>0</v>
      </c>
      <c r="L243" s="78">
        <f>K243*Tables!$F$10</f>
        <v>0</v>
      </c>
      <c r="M243" s="86"/>
      <c r="N243" s="78">
        <f>0.001*K243*Tables!$F$12</f>
        <v>0</v>
      </c>
      <c r="O243" s="101">
        <f>Tables!$F$11*K243</f>
        <v>0</v>
      </c>
      <c r="P243" s="83"/>
      <c r="Q243" s="56"/>
    </row>
    <row r="244" spans="1:17" ht="12.75">
      <c r="A244" s="54"/>
      <c r="B244" s="131"/>
      <c r="C244" s="40" t="s">
        <v>329</v>
      </c>
      <c r="D244" s="35" t="s">
        <v>903</v>
      </c>
      <c r="E244" s="35" t="s">
        <v>904</v>
      </c>
      <c r="F244" s="35" t="s">
        <v>905</v>
      </c>
      <c r="G244" s="35" t="s">
        <v>906</v>
      </c>
      <c r="H244" s="35" t="s">
        <v>907</v>
      </c>
      <c r="I244" s="35" t="s">
        <v>908</v>
      </c>
      <c r="J244" s="35" t="s">
        <v>909</v>
      </c>
      <c r="K244" s="15" t="s">
        <v>910</v>
      </c>
      <c r="L244" s="15" t="s">
        <v>911</v>
      </c>
      <c r="M244" s="15" t="s">
        <v>912</v>
      </c>
      <c r="N244" s="15" t="s">
        <v>913</v>
      </c>
      <c r="O244" s="73" t="s">
        <v>914</v>
      </c>
      <c r="P244" s="136"/>
      <c r="Q244" s="56"/>
    </row>
    <row r="245" spans="1:17" ht="12.75">
      <c r="A245" s="54"/>
      <c r="B245" s="47"/>
      <c r="C245" s="254" t="s">
        <v>1098</v>
      </c>
      <c r="D245" s="268"/>
      <c r="E245" s="65">
        <v>1</v>
      </c>
      <c r="F245" s="65">
        <v>3</v>
      </c>
      <c r="G245" s="269"/>
      <c r="H245" s="269"/>
      <c r="I245" s="292"/>
      <c r="J245" s="273" t="str">
        <f>IF(E245=0," ",CHOOSE((F245+1),"Overpressure","Minimal","Basic","Standard","Extended"))</f>
        <v>Standard</v>
      </c>
      <c r="K245" s="74">
        <f>IF(E245=0,0,CHOOSE((F245+1),0.001,0.001,0.005,0.008,0.016)*Tables!$F$3)</f>
        <v>11.200000000000001</v>
      </c>
      <c r="L245" s="74">
        <f>CHOOSE((((F245+1)-1)+1),0.001,0.002,0.005,0.008,0.015)*K245</f>
        <v>0.08960000000000001</v>
      </c>
      <c r="M245" s="86"/>
      <c r="N245" s="74">
        <f>CHOOSE((F245+1),0,0,0.0001,0.0002,0.001)*K245</f>
        <v>0.0022400000000000002</v>
      </c>
      <c r="O245" s="90">
        <f>CHOOSE((F245+1),0.0001,0.0002,0.0003,0.0005,0.001)*K245</f>
        <v>0.005600000000000001</v>
      </c>
      <c r="P245" s="83"/>
      <c r="Q245" s="56"/>
    </row>
    <row r="246" spans="1:17" ht="12.75">
      <c r="A246" s="54"/>
      <c r="B246" s="47"/>
      <c r="C246" s="177" t="s">
        <v>1099</v>
      </c>
      <c r="D246" s="268"/>
      <c r="E246" s="159">
        <v>0</v>
      </c>
      <c r="F246" s="159">
        <v>0</v>
      </c>
      <c r="G246" s="269"/>
      <c r="H246" s="269"/>
      <c r="I246" s="269"/>
      <c r="J246" s="274" t="str">
        <f>IF(E246=0," ",CHOOSE((F246+1),"Algae Vats","Gardens","Sm Animals","Lg Animals"))</f>
        <v> </v>
      </c>
      <c r="K246" s="76">
        <f>CHOOSE((F246+1),100,200,500,1500)*E246</f>
        <v>0</v>
      </c>
      <c r="L246" s="76">
        <f>CHOOSE((((F246+1)-1)+1),50,75,125,200)*E246</f>
        <v>0</v>
      </c>
      <c r="M246" s="86"/>
      <c r="N246" s="76">
        <f>CHOOSE((F246+1),0.01,0.02,0.05,0.05)*E246</f>
        <v>0</v>
      </c>
      <c r="O246" s="94">
        <f>CHOOSE((F246+1),0.1,0.2,0.5,1.5)*E246</f>
        <v>0</v>
      </c>
      <c r="P246" s="83"/>
      <c r="Q246" s="56"/>
    </row>
    <row r="247" spans="1:17" ht="12.75">
      <c r="A247" s="54"/>
      <c r="B247" s="47"/>
      <c r="C247" s="263" t="s">
        <v>1100</v>
      </c>
      <c r="D247" s="268"/>
      <c r="E247" s="65">
        <v>1</v>
      </c>
      <c r="F247" s="38">
        <f>ROUND(Tables!$F$3/1400,0)</f>
        <v>1</v>
      </c>
      <c r="G247" s="269"/>
      <c r="H247" s="269"/>
      <c r="I247" s="269"/>
      <c r="J247" s="269"/>
      <c r="K247" s="77">
        <f>E247*3*Tables!$F$24</f>
        <v>3</v>
      </c>
      <c r="L247" s="77">
        <f>0.2*E247</f>
        <v>0.2</v>
      </c>
      <c r="M247" s="77">
        <f>2*E247*Tables!$F$25</f>
        <v>2</v>
      </c>
      <c r="N247" s="77">
        <f>0.001*E247</f>
        <v>0.001</v>
      </c>
      <c r="O247" s="95">
        <f>0.005*E247</f>
        <v>0.005</v>
      </c>
      <c r="P247" s="83"/>
      <c r="Q247" s="56"/>
    </row>
    <row r="248" spans="1:17" ht="12.75">
      <c r="A248" s="54"/>
      <c r="B248" s="47"/>
      <c r="C248" s="263" t="s">
        <v>1101</v>
      </c>
      <c r="D248" s="34"/>
      <c r="E248" s="65">
        <v>0</v>
      </c>
      <c r="F248" s="269"/>
      <c r="G248" s="269"/>
      <c r="H248" s="269"/>
      <c r="I248" s="269"/>
      <c r="J248" s="269"/>
      <c r="K248" s="78">
        <f>E248*4*Tables!$F$24</f>
        <v>0</v>
      </c>
      <c r="L248" s="78">
        <f>1.2*E248</f>
        <v>0</v>
      </c>
      <c r="M248" s="77">
        <f>2*E248*Tables!$F$25</f>
        <v>0</v>
      </c>
      <c r="N248" s="78">
        <f>0.002*E248</f>
        <v>0</v>
      </c>
      <c r="O248" s="101">
        <f>0.006*E248</f>
        <v>0</v>
      </c>
      <c r="P248" s="83"/>
      <c r="Q248" s="56"/>
    </row>
    <row r="249" spans="1:17" ht="12.75">
      <c r="A249" s="54"/>
      <c r="B249" s="47"/>
      <c r="C249" s="263" t="s">
        <v>1102</v>
      </c>
      <c r="D249" s="455">
        <v>12</v>
      </c>
      <c r="E249" s="165">
        <v>4</v>
      </c>
      <c r="F249" s="165">
        <v>4</v>
      </c>
      <c r="G249" s="165">
        <v>1</v>
      </c>
      <c r="H249" s="165">
        <v>1</v>
      </c>
      <c r="I249" s="269"/>
      <c r="J249" s="274" t="str">
        <f>CONCATENATE(ROUND(E249*F249,0),"p/wk ",IF(H249&gt;0,CHOOSE((G249+1),"(M st)","(N st)","(G st)","(E st)"),CHOOSE((G249+1),"(M)","(N)","(G)","(E)")))</f>
        <v>16p/wk (N st)</v>
      </c>
      <c r="K249" s="78">
        <f>IF(H249&gt;0,CHOOSE((D249+1),0,0,0,0,0,0,1.25,1.25,1.2,1.2,1.1,1.1,1.05,1.05,1.05,1.05,1.05,1.05,1.05,1.05,0.015,1.05)*(F249/2)*E249*CHOOSE((((G249+1)-1)+1),0.074,0.116,0.137,0.137),(F249/2)*E249*CHOOSE((((G249+1)-1)+1),0.074,0.116,0.137,0.137))</f>
        <v>0.9744</v>
      </c>
      <c r="L249" s="78">
        <f>IF(H249&gt;0,CHOOSE((((D249+1)-1)+1),0,0,0,0,0,0,0.125,0.125,0.1,0.1,0.075,0.075,0.065,0.065,0.065,0.065,0.065,0.065,0.065,0.065,0.056)*K249+CHOOSE((((G249+1)-1)+1),0.056,0.095,0.095,0.095)*(F249/2)*E249,CHOOSE((((G249+1)-1)+1),0.056,0.095,0.095,0.095)*(F249/2)*E249)</f>
        <v>0.8233360000000001</v>
      </c>
      <c r="M249" s="86"/>
      <c r="N249" s="78">
        <f>IF(H249&gt;0,CHOOSE((D249+1),0,0,0,0,0,0,0.0025,0.0025,0.0023,0.0023,0.002,0.002,0.0015,0.0015,0.0015,0.0015,0.0015,0.0015,0.0015,0.0015,0.0015,0.0015,0.0015)*K249,0)</f>
        <v>0.0014616000000000002</v>
      </c>
      <c r="O249" s="101">
        <f>IF(H249&gt;0,CHOOSE((D249+1),0,0,0,0,0,0,0.000625,0.000625,0.0005,0.0005,0.00045,0.00045,0.0004,0.0004,0.0004,0.0004,0.0004,0.0004,0.0004,0.0004,0.0004,0.0004)*K249,0)</f>
        <v>0.00038976000000000006</v>
      </c>
      <c r="P249" s="83"/>
      <c r="Q249" s="56"/>
    </row>
    <row r="250" spans="1:17" ht="12.75">
      <c r="A250" s="54"/>
      <c r="B250" s="47"/>
      <c r="C250" s="263" t="s">
        <v>1103</v>
      </c>
      <c r="D250" s="269"/>
      <c r="E250" s="164">
        <v>1</v>
      </c>
      <c r="F250" s="165">
        <v>4</v>
      </c>
      <c r="G250" s="269"/>
      <c r="H250" s="269"/>
      <c r="I250" s="269"/>
      <c r="J250" s="269"/>
      <c r="K250" s="78">
        <f>IF(E250=0,0,MAX(4*E250,0.2*F250*E250))</f>
        <v>4</v>
      </c>
      <c r="L250" s="78">
        <f>K250*0.3</f>
        <v>1.2</v>
      </c>
      <c r="M250" s="87"/>
      <c r="N250" s="78">
        <f>K250*0.0025</f>
        <v>0.01</v>
      </c>
      <c r="O250" s="101">
        <f>K250*0.000125</f>
        <v>0.0005</v>
      </c>
      <c r="P250" s="83"/>
      <c r="Q250" s="56"/>
    </row>
    <row r="251" spans="1:17" ht="12.75">
      <c r="A251" s="54"/>
      <c r="B251" s="47"/>
      <c r="C251" s="263" t="s">
        <v>1104</v>
      </c>
      <c r="D251" s="269"/>
      <c r="E251" s="164">
        <v>0</v>
      </c>
      <c r="F251" s="165">
        <v>0</v>
      </c>
      <c r="G251" s="269"/>
      <c r="H251" s="269"/>
      <c r="I251" s="269"/>
      <c r="J251" s="269"/>
      <c r="K251" s="78">
        <f>IF(E251=0,0,MAX(12*E251,0.3*F251*E251))</f>
        <v>0</v>
      </c>
      <c r="L251" s="78">
        <f>K251*0.3</f>
        <v>0</v>
      </c>
      <c r="M251" s="87"/>
      <c r="N251" s="78">
        <f>K251*0.0025</f>
        <v>0</v>
      </c>
      <c r="O251" s="101">
        <f>K251*0.00015</f>
        <v>0</v>
      </c>
      <c r="P251" s="83"/>
      <c r="Q251" s="56"/>
    </row>
    <row r="252" spans="1:17" ht="12.75">
      <c r="A252" s="54"/>
      <c r="B252" s="47"/>
      <c r="C252" s="263" t="s">
        <v>1105</v>
      </c>
      <c r="D252" s="269"/>
      <c r="E252" s="165">
        <v>0</v>
      </c>
      <c r="F252" s="269"/>
      <c r="G252" s="269"/>
      <c r="H252" s="269"/>
      <c r="I252" s="269"/>
      <c r="J252" s="269"/>
      <c r="K252" s="78">
        <f>E252*5.5</f>
        <v>0</v>
      </c>
      <c r="L252" s="78">
        <f>E252*2</f>
        <v>0</v>
      </c>
      <c r="M252" s="87"/>
      <c r="N252" s="87"/>
      <c r="O252" s="101">
        <f>E252*0.01</f>
        <v>0</v>
      </c>
      <c r="P252" s="83"/>
      <c r="Q252" s="56"/>
    </row>
    <row r="253" spans="1:17" ht="12.75">
      <c r="A253" s="54"/>
      <c r="B253" s="47"/>
      <c r="C253" s="263" t="s">
        <v>1106</v>
      </c>
      <c r="D253" s="269"/>
      <c r="E253" s="165">
        <v>0</v>
      </c>
      <c r="F253" s="269"/>
      <c r="G253" s="269"/>
      <c r="H253" s="269"/>
      <c r="I253" s="269"/>
      <c r="J253" s="269"/>
      <c r="K253" s="78">
        <f>E253*6.5</f>
        <v>0</v>
      </c>
      <c r="L253" s="78">
        <f>E253*2</f>
        <v>0</v>
      </c>
      <c r="M253" s="87"/>
      <c r="N253" s="87"/>
      <c r="O253" s="101">
        <f>E253</f>
        <v>0</v>
      </c>
      <c r="P253" s="83"/>
      <c r="Q253" s="56"/>
    </row>
    <row r="254" spans="1:17" ht="12.75">
      <c r="A254" s="54"/>
      <c r="B254" s="47"/>
      <c r="C254" s="263" t="s">
        <v>1107</v>
      </c>
      <c r="D254" s="20"/>
      <c r="E254" s="165">
        <v>0</v>
      </c>
      <c r="F254" s="165">
        <v>0</v>
      </c>
      <c r="G254" s="20"/>
      <c r="H254" s="20"/>
      <c r="I254" s="20"/>
      <c r="J254" s="20"/>
      <c r="K254" s="78">
        <f>E254*F254*14*0.01</f>
        <v>0</v>
      </c>
      <c r="L254" s="78">
        <f>K254</f>
        <v>0</v>
      </c>
      <c r="M254" s="87"/>
      <c r="N254" s="87"/>
      <c r="O254" s="101">
        <f>K254*0.001</f>
        <v>0</v>
      </c>
      <c r="P254" s="83"/>
      <c r="Q254" s="56"/>
    </row>
    <row r="255" spans="1:17" ht="12.75">
      <c r="A255" s="54"/>
      <c r="B255" s="47"/>
      <c r="C255" s="263" t="s">
        <v>1108</v>
      </c>
      <c r="D255" s="20"/>
      <c r="E255" s="165">
        <v>0</v>
      </c>
      <c r="F255" s="165">
        <v>0</v>
      </c>
      <c r="G255" s="20"/>
      <c r="H255" s="20"/>
      <c r="I255" s="20"/>
      <c r="J255" s="20"/>
      <c r="K255" s="78">
        <f>E255*F255*14*0.05</f>
        <v>0</v>
      </c>
      <c r="L255" s="78">
        <f>K255</f>
        <v>0</v>
      </c>
      <c r="M255" s="87"/>
      <c r="N255" s="87"/>
      <c r="O255" s="101">
        <f>K255*0.001</f>
        <v>0</v>
      </c>
      <c r="P255" s="83"/>
      <c r="Q255" s="56"/>
    </row>
    <row r="256" spans="1:17" ht="12.75">
      <c r="A256" s="54"/>
      <c r="B256" s="47"/>
      <c r="C256" s="263" t="s">
        <v>1109</v>
      </c>
      <c r="D256" s="455">
        <v>12</v>
      </c>
      <c r="E256" s="165">
        <v>1</v>
      </c>
      <c r="F256" s="165">
        <v>1</v>
      </c>
      <c r="G256" s="20"/>
      <c r="H256" s="20"/>
      <c r="I256" s="20"/>
      <c r="J256" s="274" t="str">
        <f>IF(E256=0," ",IF(F256&gt;CHOOSE((D256+1),0,0,0,0,0,0,0,0,0,0,1,2,3,4,5,6,7,8,9,10,11,12),"TL Violation",CONCATENATE(ROUND(F256,0),"G comp")))</f>
        <v>1G comp</v>
      </c>
      <c r="K256" s="78">
        <f>CHOOSE((D256+1),0,0,0,0,0,0,0,0,0,0,0.01,0.005,0.003,0.0025,0.002,0.0015,0.001,0.0005,0.0003,0.00025,0.0002,0.00015)*F256*Tables!$F$3</f>
        <v>4.2</v>
      </c>
      <c r="L256" s="78">
        <f>K256*2</f>
        <v>8.4</v>
      </c>
      <c r="M256" s="86"/>
      <c r="N256" s="78">
        <f>K256*0.7</f>
        <v>2.94</v>
      </c>
      <c r="O256" s="101">
        <f>K256*0.05</f>
        <v>0.21000000000000002</v>
      </c>
      <c r="P256" s="83"/>
      <c r="Q256" s="56"/>
    </row>
    <row r="257" spans="1:17" ht="12.75">
      <c r="A257" s="54"/>
      <c r="B257" s="47"/>
      <c r="C257" s="298" t="s">
        <v>1110</v>
      </c>
      <c r="D257" s="271"/>
      <c r="E257" s="271"/>
      <c r="F257" s="71">
        <v>0</v>
      </c>
      <c r="G257" s="271"/>
      <c r="H257" s="271"/>
      <c r="I257" s="271"/>
      <c r="J257" s="274" t="str">
        <f>IF(F257=0,"None",CONCATENATE(ROUND(Tables!G68*100,2),"cm thick"))</f>
        <v>None</v>
      </c>
      <c r="K257" s="78">
        <f>Tables!F68*Tables!G68*StealthVolMod</f>
        <v>0</v>
      </c>
      <c r="L257" s="78">
        <f>K257*Tables!$F$10</f>
        <v>0</v>
      </c>
      <c r="M257" s="86"/>
      <c r="N257" s="78">
        <f>0.001*K257*Tables!$F$12</f>
        <v>0</v>
      </c>
      <c r="O257" s="101">
        <f>Tables!$F$11*K257</f>
        <v>0</v>
      </c>
      <c r="P257" s="83"/>
      <c r="Q257" s="56"/>
    </row>
    <row r="258" spans="1:17" ht="12.75">
      <c r="A258" s="54"/>
      <c r="B258" s="131"/>
      <c r="C258" s="40" t="s">
        <v>341</v>
      </c>
      <c r="D258" s="35"/>
      <c r="E258" s="35"/>
      <c r="F258" s="35" t="s">
        <v>1111</v>
      </c>
      <c r="G258" s="35"/>
      <c r="H258" s="35"/>
      <c r="I258" s="35"/>
      <c r="J258" s="35"/>
      <c r="K258" s="15" t="s">
        <v>910</v>
      </c>
      <c r="L258" s="15" t="s">
        <v>911</v>
      </c>
      <c r="M258" s="15" t="s">
        <v>912</v>
      </c>
      <c r="N258" s="15" t="s">
        <v>913</v>
      </c>
      <c r="O258" s="73" t="s">
        <v>914</v>
      </c>
      <c r="P258" s="136"/>
      <c r="Q258" s="56"/>
    </row>
    <row r="259" spans="1:17" ht="12.75">
      <c r="A259" s="54"/>
      <c r="B259" s="47"/>
      <c r="C259" s="124" t="s">
        <v>1112</v>
      </c>
      <c r="D259" s="267"/>
      <c r="E259" s="267"/>
      <c r="F259" s="411">
        <f>E221</f>
        <v>4</v>
      </c>
      <c r="G259" s="267"/>
      <c r="H259" s="267"/>
      <c r="I259" s="267"/>
      <c r="J259" s="267"/>
      <c r="K259" s="74">
        <f>SUM(K19:K27)+SUM(K29:K257)</f>
        <v>434.95805</v>
      </c>
      <c r="L259" s="74">
        <f>SUM(L18:L257)</f>
        <v>453.98302599999994</v>
      </c>
      <c r="M259" s="74">
        <f>SUM(M19:M27)+SUM(M29:M257)</f>
        <v>208.875</v>
      </c>
      <c r="N259" s="74">
        <f>SUM(N18:N257)-SUM(N138:N153)</f>
        <v>62.06371859999999</v>
      </c>
      <c r="O259" s="90">
        <f>SUM(O18:O257)*D9</f>
        <v>25.055602459999996</v>
      </c>
      <c r="P259" s="83"/>
      <c r="Q259" s="56"/>
    </row>
    <row r="260" spans="1:17" ht="12.75">
      <c r="A260" s="54"/>
      <c r="B260" s="131"/>
      <c r="C260" s="266" t="s">
        <v>1113</v>
      </c>
      <c r="D260" s="270"/>
      <c r="E260" s="270"/>
      <c r="F260" s="412">
        <f>F221-F259</f>
        <v>0</v>
      </c>
      <c r="G260" s="270"/>
      <c r="H260" s="270"/>
      <c r="I260" s="270"/>
      <c r="J260" s="270"/>
      <c r="K260" s="91">
        <f>Tables!$F$3-K259</f>
        <v>965.04195</v>
      </c>
      <c r="L260" s="93"/>
      <c r="M260" s="91">
        <f>Tables!$F$4-M259</f>
        <v>396.32500000000005</v>
      </c>
      <c r="N260" s="91">
        <f>SUM(N138:N153)-N259</f>
        <v>-2.063718599999987</v>
      </c>
      <c r="O260" s="117">
        <f>IF(J8=0,0,J8-O259)</f>
        <v>0</v>
      </c>
      <c r="P260" s="136">
        <v>5</v>
      </c>
      <c r="Q260" s="56"/>
    </row>
    <row r="261" spans="1:17" ht="12.75">
      <c r="A261" s="54"/>
      <c r="B261" s="132"/>
      <c r="C261" s="133"/>
      <c r="D261" s="134"/>
      <c r="E261" s="134"/>
      <c r="F261" s="134"/>
      <c r="G261" s="134"/>
      <c r="H261" s="134"/>
      <c r="I261" s="134"/>
      <c r="J261" s="134"/>
      <c r="K261" s="92"/>
      <c r="L261" s="92"/>
      <c r="M261" s="92"/>
      <c r="N261" s="92"/>
      <c r="O261" s="118"/>
      <c r="P261" s="137"/>
      <c r="Q261" s="56"/>
    </row>
    <row r="262" spans="1:17" ht="12.75">
      <c r="A262" s="54"/>
      <c r="B262" s="56"/>
      <c r="C262" s="56"/>
      <c r="D262" s="57"/>
      <c r="E262" s="57"/>
      <c r="F262" s="57"/>
      <c r="G262" s="57"/>
      <c r="H262" s="57"/>
      <c r="I262" s="57"/>
      <c r="J262" s="57"/>
      <c r="K262" s="42"/>
      <c r="L262" s="42"/>
      <c r="M262" s="42"/>
      <c r="N262" s="42"/>
      <c r="O262" s="33"/>
      <c r="P262" s="56"/>
      <c r="Q262" s="56"/>
    </row>
    <row r="263" spans="1:17" ht="12.75">
      <c r="A263" s="54"/>
      <c r="B263" s="56"/>
      <c r="C263" s="56"/>
      <c r="D263" s="57"/>
      <c r="E263" s="57"/>
      <c r="F263" s="57"/>
      <c r="G263" s="57"/>
      <c r="H263" s="57"/>
      <c r="I263" s="57"/>
      <c r="J263" s="57"/>
      <c r="K263" s="42"/>
      <c r="L263" s="42"/>
      <c r="M263" s="42"/>
      <c r="N263" s="42"/>
      <c r="O263" s="33"/>
      <c r="P263" s="56"/>
      <c r="Q263" s="56"/>
    </row>
    <row r="264" spans="1:17" ht="12.75">
      <c r="A264" s="54"/>
      <c r="B264" s="56"/>
      <c r="C264" s="56"/>
      <c r="D264" s="57"/>
      <c r="E264" s="57"/>
      <c r="F264" s="57"/>
      <c r="G264" s="57"/>
      <c r="H264" s="57"/>
      <c r="I264" s="57"/>
      <c r="J264" s="57"/>
      <c r="K264" s="42"/>
      <c r="L264" s="42"/>
      <c r="M264" s="42"/>
      <c r="N264" s="42"/>
      <c r="O264" s="33"/>
      <c r="P264" s="56"/>
      <c r="Q264" s="56"/>
    </row>
    <row r="265" spans="1:17" ht="12.75">
      <c r="A265" s="54"/>
      <c r="B265" s="56"/>
      <c r="C265" s="56"/>
      <c r="D265" s="57"/>
      <c r="E265" s="57"/>
      <c r="F265" s="57"/>
      <c r="G265" s="57"/>
      <c r="H265" s="57"/>
      <c r="I265" s="57"/>
      <c r="J265" s="57"/>
      <c r="K265" s="42"/>
      <c r="L265" s="42"/>
      <c r="M265" s="42"/>
      <c r="N265" s="42"/>
      <c r="O265" s="33"/>
      <c r="P265" s="56"/>
      <c r="Q265" s="56"/>
    </row>
    <row r="266" spans="1:17" ht="12.75">
      <c r="A266" s="54"/>
      <c r="B266" s="56"/>
      <c r="C266" s="56"/>
      <c r="D266" s="57"/>
      <c r="E266" s="57"/>
      <c r="F266" s="57"/>
      <c r="G266" s="57"/>
      <c r="H266" s="57"/>
      <c r="I266" s="57"/>
      <c r="J266" s="57"/>
      <c r="K266" s="42"/>
      <c r="L266" s="42"/>
      <c r="M266" s="42"/>
      <c r="N266" s="42"/>
      <c r="O266" s="33"/>
      <c r="P266" s="56"/>
      <c r="Q266" s="56"/>
    </row>
    <row r="267" spans="1:17" ht="12.75">
      <c r="A267" s="54"/>
      <c r="B267" s="56"/>
      <c r="C267" s="56"/>
      <c r="D267" s="57"/>
      <c r="E267" s="57"/>
      <c r="F267" s="57"/>
      <c r="G267" s="57"/>
      <c r="H267" s="57"/>
      <c r="I267" s="57"/>
      <c r="J267" s="57"/>
      <c r="K267" s="42"/>
      <c r="L267" s="42"/>
      <c r="M267" s="42"/>
      <c r="N267" s="42"/>
      <c r="O267" s="33"/>
      <c r="P267" s="56"/>
      <c r="Q267" s="56"/>
    </row>
    <row r="268" spans="1:17" ht="12.75">
      <c r="A268" s="54"/>
      <c r="B268" s="56"/>
      <c r="C268" s="56"/>
      <c r="D268" s="57"/>
      <c r="E268" s="57"/>
      <c r="F268" s="57"/>
      <c r="G268" s="57"/>
      <c r="H268" s="57"/>
      <c r="I268" s="57"/>
      <c r="J268" s="57"/>
      <c r="K268" s="42"/>
      <c r="L268" s="42"/>
      <c r="M268" s="42"/>
      <c r="N268" s="42"/>
      <c r="O268" s="33"/>
      <c r="P268" s="56"/>
      <c r="Q268" s="56"/>
    </row>
    <row r="269" spans="1:17" ht="12.75">
      <c r="A269" s="54"/>
      <c r="B269" s="56"/>
      <c r="C269" s="56"/>
      <c r="D269" s="57"/>
      <c r="E269" s="57"/>
      <c r="F269" s="57"/>
      <c r="G269" s="57"/>
      <c r="H269" s="57"/>
      <c r="I269" s="57"/>
      <c r="J269" s="57"/>
      <c r="K269" s="42"/>
      <c r="L269" s="42"/>
      <c r="M269" s="42"/>
      <c r="N269" s="42"/>
      <c r="O269" s="33"/>
      <c r="P269" s="56"/>
      <c r="Q269" s="56"/>
    </row>
    <row r="270" spans="1:17" ht="12.75">
      <c r="A270" s="54"/>
      <c r="B270" s="56"/>
      <c r="C270" s="56"/>
      <c r="D270" s="57"/>
      <c r="E270" s="57"/>
      <c r="F270" s="57"/>
      <c r="G270" s="57"/>
      <c r="H270" s="57"/>
      <c r="I270" s="57"/>
      <c r="J270" s="57"/>
      <c r="K270" s="42"/>
      <c r="L270" s="42"/>
      <c r="M270" s="42"/>
      <c r="N270" s="42"/>
      <c r="O270" s="33"/>
      <c r="P270" s="56"/>
      <c r="Q270" s="56"/>
    </row>
    <row r="271" spans="1:17" ht="12.75">
      <c r="A271" s="54"/>
      <c r="B271" s="56"/>
      <c r="C271" s="56"/>
      <c r="D271" s="57"/>
      <c r="E271" s="57"/>
      <c r="F271" s="57"/>
      <c r="G271" s="57"/>
      <c r="H271" s="57"/>
      <c r="I271" s="57"/>
      <c r="J271" s="57"/>
      <c r="K271" s="42"/>
      <c r="L271" s="42"/>
      <c r="M271" s="42"/>
      <c r="N271" s="42"/>
      <c r="O271" s="33"/>
      <c r="P271" s="56"/>
      <c r="Q271" s="56"/>
    </row>
    <row r="272" spans="1:17" ht="12.75">
      <c r="A272" s="54"/>
      <c r="B272" s="56"/>
      <c r="C272" s="56"/>
      <c r="D272" s="57"/>
      <c r="E272" s="57"/>
      <c r="F272" s="57"/>
      <c r="G272" s="57"/>
      <c r="H272" s="57"/>
      <c r="I272" s="57"/>
      <c r="J272" s="57"/>
      <c r="K272" s="42"/>
      <c r="L272" s="42"/>
      <c r="M272" s="42"/>
      <c r="N272" s="42"/>
      <c r="O272" s="33"/>
      <c r="P272" s="56"/>
      <c r="Q272" s="56"/>
    </row>
    <row r="273" spans="1:17" ht="12.75">
      <c r="A273" s="54"/>
      <c r="B273" s="56"/>
      <c r="C273" s="56"/>
      <c r="D273" s="57"/>
      <c r="E273" s="57"/>
      <c r="F273" s="57"/>
      <c r="G273" s="57"/>
      <c r="H273" s="57"/>
      <c r="I273" s="57"/>
      <c r="J273" s="57"/>
      <c r="K273" s="42"/>
      <c r="L273" s="42"/>
      <c r="M273" s="42"/>
      <c r="N273" s="42"/>
      <c r="O273" s="33"/>
      <c r="P273" s="56"/>
      <c r="Q273" s="56"/>
    </row>
    <row r="274" spans="1:17" ht="12.75">
      <c r="A274" s="54"/>
      <c r="B274" s="56"/>
      <c r="C274" s="56"/>
      <c r="D274" s="57"/>
      <c r="E274" s="57"/>
      <c r="F274" s="57"/>
      <c r="G274" s="57"/>
      <c r="H274" s="57"/>
      <c r="I274" s="57"/>
      <c r="J274" s="57"/>
      <c r="K274" s="42"/>
      <c r="L274" s="42"/>
      <c r="M274" s="42"/>
      <c r="N274" s="42"/>
      <c r="O274" s="33"/>
      <c r="P274" s="56"/>
      <c r="Q274" s="56"/>
    </row>
    <row r="275" spans="1:17" ht="12.75">
      <c r="A275" s="54"/>
      <c r="B275" s="56"/>
      <c r="C275" s="56"/>
      <c r="D275" s="57"/>
      <c r="E275" s="57"/>
      <c r="F275" s="57"/>
      <c r="G275" s="57"/>
      <c r="H275" s="57"/>
      <c r="I275" s="57"/>
      <c r="J275" s="57"/>
      <c r="K275" s="42"/>
      <c r="L275" s="42"/>
      <c r="M275" s="42"/>
      <c r="N275" s="42"/>
      <c r="O275" s="33"/>
      <c r="P275" s="56"/>
      <c r="Q275" s="56"/>
    </row>
    <row r="276" spans="1:17" ht="12.75">
      <c r="A276" s="54"/>
      <c r="B276" s="56"/>
      <c r="C276" s="56"/>
      <c r="D276" s="57"/>
      <c r="E276" s="57"/>
      <c r="F276" s="57"/>
      <c r="G276" s="57"/>
      <c r="H276" s="57"/>
      <c r="I276" s="57"/>
      <c r="J276" s="57"/>
      <c r="K276" s="42"/>
      <c r="L276" s="42"/>
      <c r="M276" s="42"/>
      <c r="N276" s="42"/>
      <c r="O276" s="33"/>
      <c r="P276" s="56"/>
      <c r="Q276" s="56"/>
    </row>
    <row r="65494" ht="12.75">
      <c r="D65494" s="197">
        <v>15</v>
      </c>
    </row>
    <row r="65495" ht="12.75">
      <c r="D65495" s="197">
        <v>15</v>
      </c>
    </row>
    <row r="65503" ht="12.75">
      <c r="D65503" s="197">
        <v>15</v>
      </c>
    </row>
    <row r="65511" ht="12.75">
      <c r="D65511" s="197">
        <v>15</v>
      </c>
    </row>
    <row r="65512" ht="12.75">
      <c r="D65512" s="197">
        <v>15</v>
      </c>
    </row>
    <row r="65536" ht="12.75">
      <c r="D65536" s="197">
        <v>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V11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.7109375" style="0" customWidth="1"/>
    <col min="3" max="3" width="20.7109375" style="196" customWidth="1"/>
    <col min="4" max="7" width="14.421875" style="196" customWidth="1"/>
    <col min="8" max="8" width="12.7109375" style="113" customWidth="1"/>
    <col min="9" max="9" width="1.1484375" style="196" customWidth="1"/>
    <col min="10" max="10" width="70.7109375" style="196" customWidth="1"/>
    <col min="11" max="16384" width="8.421875" style="196" customWidth="1"/>
  </cols>
  <sheetData>
    <row r="1" spans="1:13" ht="12.75">
      <c r="A1" s="54"/>
      <c r="B1" s="54"/>
      <c r="C1" s="56"/>
      <c r="D1" s="56"/>
      <c r="E1" s="56"/>
      <c r="F1" s="56"/>
      <c r="G1" s="56"/>
      <c r="H1" s="244"/>
      <c r="I1" s="56"/>
      <c r="J1" s="56"/>
      <c r="K1" s="56"/>
      <c r="L1" s="56"/>
      <c r="M1" s="56"/>
    </row>
    <row r="2" spans="1:12" ht="15.75">
      <c r="A2" s="54"/>
      <c r="B2" s="245"/>
      <c r="C2" s="246" t="s">
        <v>1114</v>
      </c>
      <c r="D2" s="248"/>
      <c r="E2" s="248"/>
      <c r="F2" s="248"/>
      <c r="G2" s="248"/>
      <c r="H2" s="140"/>
      <c r="I2" s="251"/>
      <c r="J2" s="56"/>
      <c r="K2" s="56"/>
      <c r="L2" s="56"/>
    </row>
    <row r="3" spans="1:12" ht="15.75">
      <c r="A3" s="54"/>
      <c r="B3" s="49"/>
      <c r="C3" s="247"/>
      <c r="D3" s="52"/>
      <c r="E3" s="52"/>
      <c r="F3" s="52"/>
      <c r="G3" s="52"/>
      <c r="H3" s="98"/>
      <c r="I3" s="83"/>
      <c r="J3" s="56"/>
      <c r="K3" s="56"/>
      <c r="L3" s="56"/>
    </row>
    <row r="4" spans="1:12" ht="12.75">
      <c r="A4" s="54"/>
      <c r="B4" s="49"/>
      <c r="C4" s="40" t="s">
        <v>1115</v>
      </c>
      <c r="D4" s="310" t="s">
        <v>1116</v>
      </c>
      <c r="E4" s="230"/>
      <c r="F4" s="231"/>
      <c r="G4" s="52"/>
      <c r="H4" s="98"/>
      <c r="I4" s="83"/>
      <c r="J4" s="56"/>
      <c r="K4" s="56"/>
      <c r="L4" s="56"/>
    </row>
    <row r="5" spans="1:12" ht="12.75">
      <c r="A5" s="54"/>
      <c r="B5" s="49"/>
      <c r="C5" s="52"/>
      <c r="D5" s="52"/>
      <c r="E5" s="52"/>
      <c r="F5" s="52"/>
      <c r="G5" s="52"/>
      <c r="H5" s="98"/>
      <c r="I5" s="83"/>
      <c r="J5" s="56"/>
      <c r="K5" s="56"/>
      <c r="L5" s="56"/>
    </row>
    <row r="6" spans="1:256" ht="12.75">
      <c r="A6" s="54"/>
      <c r="B6" s="49"/>
      <c r="C6" s="205" t="s">
        <v>1117</v>
      </c>
      <c r="D6" s="207"/>
      <c r="E6" s="207"/>
      <c r="F6" s="208"/>
      <c r="G6" s="252"/>
      <c r="H6" s="141"/>
      <c r="I6" s="253"/>
      <c r="J6" s="127"/>
      <c r="K6" s="127"/>
      <c r="L6" s="127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12" ht="12.75">
      <c r="A7" s="54"/>
      <c r="B7" s="49"/>
      <c r="C7" s="177" t="s">
        <v>900</v>
      </c>
      <c r="D7" s="25">
        <v>12</v>
      </c>
      <c r="E7" s="220"/>
      <c r="F7" s="225"/>
      <c r="G7" s="52"/>
      <c r="H7" s="98"/>
      <c r="I7" s="83"/>
      <c r="J7" s="56"/>
      <c r="K7" s="56"/>
      <c r="L7" s="56"/>
    </row>
    <row r="8" spans="1:12" ht="12.75">
      <c r="A8" s="54"/>
      <c r="B8" s="49"/>
      <c r="C8" s="177" t="s">
        <v>1118</v>
      </c>
      <c r="D8" s="25">
        <v>0</v>
      </c>
      <c r="E8" s="222" t="str">
        <f>CHOOSE((D8+1),"Turret","Bay","Fixed","Parallel","Spinal")</f>
        <v>Turret</v>
      </c>
      <c r="F8" s="226"/>
      <c r="G8" s="52"/>
      <c r="H8" s="98"/>
      <c r="I8" s="83"/>
      <c r="J8" s="56"/>
      <c r="K8" s="56"/>
      <c r="L8" s="56"/>
    </row>
    <row r="9" spans="1:12" ht="12.75">
      <c r="A9" s="54"/>
      <c r="B9" s="49"/>
      <c r="C9" s="177" t="s">
        <v>1119</v>
      </c>
      <c r="D9" s="25">
        <v>2.5</v>
      </c>
      <c r="E9" s="27" t="str">
        <f>CHOOSE((D22+1)," ",IF(D9&gt;3.58,"Size violation"," "),IF(D9&gt;4.51,"Size Violation"," "),IF(D9&gt;7.6,"Size Violation"," "),IF(D9&gt;9.4,"Size Violation"," "))</f>
        <v> </v>
      </c>
      <c r="F9" s="226"/>
      <c r="G9" s="52"/>
      <c r="H9" s="98"/>
      <c r="I9" s="83"/>
      <c r="J9" s="56"/>
      <c r="K9" s="56"/>
      <c r="L9" s="56"/>
    </row>
    <row r="10" spans="1:12" ht="12.75">
      <c r="A10" s="54"/>
      <c r="B10" s="49"/>
      <c r="C10" s="177" t="s">
        <v>1120</v>
      </c>
      <c r="D10" s="30">
        <f>D33/F33</f>
        <v>0.07</v>
      </c>
      <c r="E10" s="27" t="str">
        <f>CHOOSE((D8+1),CHOOSE((D22+1),IF(D10&gt;Tables!F39,"Size Violation"," "),IF(D10&gt;4.18,"Size violation"," "),IF(D10&gt;5.26,"Size Violation"," "),IF(D10&gt;12,"Size Violation"," "),IF(D10&gt;16,"Size Violation"," ")),CHOOSE((D22+1),IF(D10&gt;Tables!F39,"Size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 </v>
      </c>
      <c r="F10" s="226"/>
      <c r="G10" s="52"/>
      <c r="H10" s="98"/>
      <c r="I10" s="83"/>
      <c r="J10" s="56"/>
      <c r="K10" s="56"/>
      <c r="L10" s="56"/>
    </row>
    <row r="11" spans="1:12" ht="12.75">
      <c r="A11" s="54"/>
      <c r="B11" s="49"/>
      <c r="C11" s="177" t="s">
        <v>1121</v>
      </c>
      <c r="D11" s="25">
        <v>0</v>
      </c>
      <c r="E11" s="222" t="str">
        <f>IF(D11=1,IF(D7&lt;13,"Error: TL Violation","X-Ray"),"Tunable")</f>
        <v>Tunable</v>
      </c>
      <c r="F11" s="226"/>
      <c r="G11" s="52"/>
      <c r="H11" s="98"/>
      <c r="I11" s="83"/>
      <c r="J11" s="56"/>
      <c r="K11" s="56"/>
      <c r="L11" s="56"/>
    </row>
    <row r="12" spans="1:12" ht="12.75">
      <c r="A12" s="54"/>
      <c r="B12" s="49"/>
      <c r="C12" s="177" t="s">
        <v>1122</v>
      </c>
      <c r="D12" s="25">
        <v>70</v>
      </c>
      <c r="E12" s="27" t="str">
        <f>IF(D12&gt;(D7*50),"Error: TL Violation"," ")</f>
        <v> </v>
      </c>
      <c r="F12" s="226"/>
      <c r="G12" s="52"/>
      <c r="H12" s="98"/>
      <c r="I12" s="83"/>
      <c r="J12" s="56"/>
      <c r="K12" s="56"/>
      <c r="L12" s="56"/>
    </row>
    <row r="13" spans="1:12" ht="12.75">
      <c r="A13" s="54"/>
      <c r="B13" s="49"/>
      <c r="C13" s="276" t="s">
        <v>1123</v>
      </c>
      <c r="D13" s="281">
        <f>Tables!E245</f>
        <v>156250</v>
      </c>
      <c r="E13" s="27"/>
      <c r="F13" s="226"/>
      <c r="G13" s="52"/>
      <c r="H13" s="98"/>
      <c r="I13" s="83"/>
      <c r="J13" s="56"/>
      <c r="K13" s="56"/>
      <c r="L13" s="56"/>
    </row>
    <row r="14" spans="1:12" ht="12.75">
      <c r="A14" s="54"/>
      <c r="B14" s="49"/>
      <c r="C14" s="276" t="s">
        <v>1124</v>
      </c>
      <c r="D14" s="25">
        <v>1</v>
      </c>
      <c r="E14" s="27" t="str">
        <f>CHOOSE((D14+1),"Short (30,000km)","Normal (150,000km)","Extreme (300,000km)")</f>
        <v>Normal (150,000km)</v>
      </c>
      <c r="F14" s="226"/>
      <c r="G14" s="52"/>
      <c r="H14" s="98"/>
      <c r="I14" s="83"/>
      <c r="J14" s="56"/>
      <c r="K14" s="56"/>
      <c r="L14" s="56"/>
    </row>
    <row r="15" spans="1:12" ht="12.75">
      <c r="A15" s="54"/>
      <c r="B15" s="49"/>
      <c r="C15" s="177" t="s">
        <v>1125</v>
      </c>
      <c r="D15" s="25">
        <v>1</v>
      </c>
      <c r="E15" s="222" t="str">
        <f>IF(D15=1,IF(D7&lt;9,"Error: TL Violation","Grav focused"),"Non-grav focused")</f>
        <v>Grav focused</v>
      </c>
      <c r="F15" s="228"/>
      <c r="G15" s="52"/>
      <c r="H15" s="98"/>
      <c r="I15" s="83"/>
      <c r="J15" s="56"/>
      <c r="K15" s="56"/>
      <c r="L15" s="56"/>
    </row>
    <row r="16" spans="1:12" ht="12.75">
      <c r="A16" s="54"/>
      <c r="B16" s="49"/>
      <c r="C16" s="177" t="s">
        <v>1126</v>
      </c>
      <c r="D16" s="25">
        <v>1</v>
      </c>
      <c r="E16" s="222" t="str">
        <f>IF(D16=0,"No","Yes")</f>
        <v>Yes</v>
      </c>
      <c r="F16" s="226"/>
      <c r="G16" s="52"/>
      <c r="H16" s="98"/>
      <c r="I16" s="83"/>
      <c r="J16" s="56"/>
      <c r="K16" s="56"/>
      <c r="L16" s="56"/>
    </row>
    <row r="17" spans="1:12" ht="12.75">
      <c r="A17" s="54"/>
      <c r="B17" s="49"/>
      <c r="C17" s="177" t="s">
        <v>1127</v>
      </c>
      <c r="D17" s="25">
        <v>0</v>
      </c>
      <c r="E17" s="222" t="str">
        <f>IF(D17=0,"No","Yes")</f>
        <v>No</v>
      </c>
      <c r="F17" s="226"/>
      <c r="G17" s="52"/>
      <c r="H17" s="98"/>
      <c r="I17" s="83"/>
      <c r="J17" s="56"/>
      <c r="K17" s="56"/>
      <c r="L17" s="56"/>
    </row>
    <row r="18" spans="1:12" ht="12.75">
      <c r="A18" s="54"/>
      <c r="B18" s="49"/>
      <c r="C18" s="177" t="s">
        <v>1128</v>
      </c>
      <c r="D18" s="25">
        <v>1</v>
      </c>
      <c r="E18" s="223"/>
      <c r="F18" s="227"/>
      <c r="G18" s="52"/>
      <c r="H18" s="98"/>
      <c r="I18" s="83"/>
      <c r="J18" s="56"/>
      <c r="K18" s="56"/>
      <c r="L18" s="56"/>
    </row>
    <row r="19" spans="1:12" ht="12.75">
      <c r="A19" s="54"/>
      <c r="B19" s="49"/>
      <c r="C19" s="177" t="s">
        <v>1129</v>
      </c>
      <c r="D19" s="25">
        <v>50</v>
      </c>
      <c r="E19" s="222">
        <f>IF(D19&gt;800,"Error: PD ROF limited to 800!","")</f>
      </c>
      <c r="F19" s="226"/>
      <c r="G19" s="52"/>
      <c r="H19" s="98"/>
      <c r="I19" s="83"/>
      <c r="J19" s="128"/>
      <c r="K19" s="56"/>
      <c r="L19" s="56"/>
    </row>
    <row r="20" spans="1:256" ht="12.75">
      <c r="A20" s="456"/>
      <c r="B20" s="457"/>
      <c r="C20" s="477" t="s">
        <v>1130</v>
      </c>
      <c r="D20" s="478">
        <v>0</v>
      </c>
      <c r="E20" s="222">
        <f>IF(D20&gt;800,"Error: PD ROF limited to 800!","")</f>
      </c>
      <c r="F20" s="226"/>
      <c r="G20" s="462"/>
      <c r="H20" s="463"/>
      <c r="I20" s="464"/>
      <c r="J20" s="459"/>
      <c r="K20" s="465"/>
      <c r="L20" s="465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6"/>
      <c r="EV20" s="466"/>
      <c r="EW20" s="466"/>
      <c r="EX20" s="466"/>
      <c r="EY20" s="466"/>
      <c r="EZ20" s="466"/>
      <c r="FA20" s="466"/>
      <c r="FB20" s="466"/>
      <c r="FC20" s="466"/>
      <c r="FD20" s="466"/>
      <c r="FE20" s="466"/>
      <c r="FF20" s="466"/>
      <c r="FG20" s="466"/>
      <c r="FH20" s="466"/>
      <c r="FI20" s="466"/>
      <c r="FJ20" s="466"/>
      <c r="FK20" s="466"/>
      <c r="FL20" s="466"/>
      <c r="FM20" s="466"/>
      <c r="FN20" s="466"/>
      <c r="FO20" s="466"/>
      <c r="FP20" s="466"/>
      <c r="FQ20" s="466"/>
      <c r="FR20" s="466"/>
      <c r="FS20" s="466"/>
      <c r="FT20" s="466"/>
      <c r="FU20" s="466"/>
      <c r="FV20" s="466"/>
      <c r="FW20" s="466"/>
      <c r="FX20" s="466"/>
      <c r="FY20" s="466"/>
      <c r="FZ20" s="466"/>
      <c r="GA20" s="466"/>
      <c r="GB20" s="466"/>
      <c r="GC20" s="466"/>
      <c r="GD20" s="466"/>
      <c r="GE20" s="466"/>
      <c r="GF20" s="466"/>
      <c r="GG20" s="466"/>
      <c r="GH20" s="466"/>
      <c r="GI20" s="466"/>
      <c r="GJ20" s="466"/>
      <c r="GK20" s="466"/>
      <c r="GL20" s="466"/>
      <c r="GM20" s="466"/>
      <c r="GN20" s="466"/>
      <c r="GO20" s="466"/>
      <c r="GP20" s="466"/>
      <c r="GQ20" s="466"/>
      <c r="GR20" s="466"/>
      <c r="GS20" s="466"/>
      <c r="GT20" s="466"/>
      <c r="GU20" s="466"/>
      <c r="GV20" s="466"/>
      <c r="GW20" s="466"/>
      <c r="GX20" s="466"/>
      <c r="GY20" s="466"/>
      <c r="GZ20" s="466"/>
      <c r="HA20" s="466"/>
      <c r="HB20" s="466"/>
      <c r="HC20" s="466"/>
      <c r="HD20" s="466"/>
      <c r="HE20" s="466"/>
      <c r="HF20" s="466"/>
      <c r="HG20" s="466"/>
      <c r="HH20" s="466"/>
      <c r="HI20" s="466"/>
      <c r="HJ20" s="466"/>
      <c r="HK20" s="466"/>
      <c r="HL20" s="466"/>
      <c r="HM20" s="466"/>
      <c r="HN20" s="466"/>
      <c r="HO20" s="466"/>
      <c r="HP20" s="466"/>
      <c r="HQ20" s="466"/>
      <c r="HR20" s="466"/>
      <c r="HS20" s="466"/>
      <c r="HT20" s="466"/>
      <c r="HU20" s="466"/>
      <c r="HV20" s="466"/>
      <c r="HW20" s="466"/>
      <c r="HX20" s="466"/>
      <c r="HY20" s="466"/>
      <c r="HZ20" s="466"/>
      <c r="IA20" s="466"/>
      <c r="IB20" s="466"/>
      <c r="IC20" s="466"/>
      <c r="ID20" s="466"/>
      <c r="IE20" s="466"/>
      <c r="IF20" s="466"/>
      <c r="IG20" s="466"/>
      <c r="IH20" s="466"/>
      <c r="II20" s="466"/>
      <c r="IJ20" s="466"/>
      <c r="IK20" s="466"/>
      <c r="IL20" s="466"/>
      <c r="IM20" s="466"/>
      <c r="IN20" s="466"/>
      <c r="IO20" s="466"/>
      <c r="IP20" s="466"/>
      <c r="IQ20" s="466"/>
      <c r="IR20" s="466"/>
      <c r="IS20" s="466"/>
      <c r="IT20" s="466"/>
      <c r="IU20" s="466"/>
      <c r="IV20" s="466"/>
    </row>
    <row r="21" spans="1:12" ht="12.75">
      <c r="A21" s="54"/>
      <c r="B21" s="49"/>
      <c r="C21" s="298" t="s">
        <v>1131</v>
      </c>
      <c r="D21" s="295">
        <v>0</v>
      </c>
      <c r="E21" s="296"/>
      <c r="F21" s="297"/>
      <c r="G21" s="52"/>
      <c r="H21" s="98"/>
      <c r="I21" s="83"/>
      <c r="J21" s="128"/>
      <c r="K21" s="56"/>
      <c r="L21" s="56"/>
    </row>
    <row r="22" spans="1:12" ht="12.75">
      <c r="A22" s="54"/>
      <c r="B22" s="49"/>
      <c r="C22" s="179" t="s">
        <v>1132</v>
      </c>
      <c r="D22" s="31">
        <v>1</v>
      </c>
      <c r="E22" s="224" t="str">
        <f>CHOOSE((D22+1),"None","42m turret","84m turret","50std bay","100std bay")</f>
        <v>42m turret</v>
      </c>
      <c r="F22" s="229"/>
      <c r="G22" s="52"/>
      <c r="H22" s="98"/>
      <c r="I22" s="83"/>
      <c r="J22" s="56"/>
      <c r="K22" s="56"/>
      <c r="L22" s="56"/>
    </row>
    <row r="23" spans="1:12" ht="12.75">
      <c r="A23" s="54"/>
      <c r="B23" s="49"/>
      <c r="C23" s="52"/>
      <c r="D23" s="52"/>
      <c r="E23" s="52"/>
      <c r="F23" s="52"/>
      <c r="G23" s="52"/>
      <c r="H23" s="98"/>
      <c r="I23" s="83"/>
      <c r="J23" s="56"/>
      <c r="K23" s="56"/>
      <c r="L23" s="56"/>
    </row>
    <row r="24" spans="1:12" ht="12.75">
      <c r="A24" s="54"/>
      <c r="B24" s="49"/>
      <c r="C24" s="205" t="s">
        <v>1133</v>
      </c>
      <c r="D24" s="472" t="s">
        <v>1134</v>
      </c>
      <c r="E24" s="207" t="s">
        <v>1135</v>
      </c>
      <c r="F24" s="208"/>
      <c r="G24" s="52"/>
      <c r="H24" s="98"/>
      <c r="I24" s="83"/>
      <c r="J24" s="56"/>
      <c r="K24" s="56"/>
      <c r="L24" s="56"/>
    </row>
    <row r="25" spans="1:256" ht="12.75">
      <c r="A25" s="456"/>
      <c r="B25" s="457"/>
      <c r="C25" s="254" t="s">
        <v>1136</v>
      </c>
      <c r="D25" s="475"/>
      <c r="E25" s="482">
        <f>IF($D$14=0,MIN($D$12,ROUND($D$12/((30000/Tables!$E$245)^2),3)),MIN($D$12,ROUND($D$12/(((30000*5)/Tables!$E$245)^2),3)))</f>
        <v>70</v>
      </c>
      <c r="F25" s="226"/>
      <c r="G25" s="462"/>
      <c r="H25" s="463"/>
      <c r="I25" s="464"/>
      <c r="J25" s="465"/>
      <c r="K25" s="465"/>
      <c r="L25" s="465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/>
      <c r="EQ25" s="466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466"/>
      <c r="FE25" s="466"/>
      <c r="FF25" s="466"/>
      <c r="FG25" s="466"/>
      <c r="FH25" s="466"/>
      <c r="FI25" s="466"/>
      <c r="FJ25" s="466"/>
      <c r="FK25" s="466"/>
      <c r="FL25" s="466"/>
      <c r="FM25" s="466"/>
      <c r="FN25" s="466"/>
      <c r="FO25" s="466"/>
      <c r="FP25" s="466"/>
      <c r="FQ25" s="466"/>
      <c r="FR25" s="466"/>
      <c r="FS25" s="466"/>
      <c r="FT25" s="466"/>
      <c r="FU25" s="466"/>
      <c r="FV25" s="466"/>
      <c r="FW25" s="466"/>
      <c r="FX25" s="466"/>
      <c r="FY25" s="466"/>
      <c r="FZ25" s="466"/>
      <c r="GA25" s="466"/>
      <c r="GB25" s="466"/>
      <c r="GC25" s="466"/>
      <c r="GD25" s="466"/>
      <c r="GE25" s="466"/>
      <c r="GF25" s="466"/>
      <c r="GG25" s="466"/>
      <c r="GH25" s="466"/>
      <c r="GI25" s="466"/>
      <c r="GJ25" s="466"/>
      <c r="GK25" s="466"/>
      <c r="GL25" s="466"/>
      <c r="GM25" s="466"/>
      <c r="GN25" s="466"/>
      <c r="GO25" s="466"/>
      <c r="GP25" s="466"/>
      <c r="GQ25" s="466"/>
      <c r="GR25" s="466"/>
      <c r="GS25" s="466"/>
      <c r="GT25" s="466"/>
      <c r="GU25" s="466"/>
      <c r="GV25" s="466"/>
      <c r="GW25" s="466"/>
      <c r="GX25" s="466"/>
      <c r="GY25" s="466"/>
      <c r="GZ25" s="466"/>
      <c r="HA25" s="466"/>
      <c r="HB25" s="466"/>
      <c r="HC25" s="466"/>
      <c r="HD25" s="466"/>
      <c r="HE25" s="466"/>
      <c r="HF25" s="466"/>
      <c r="HG25" s="466"/>
      <c r="HH25" s="466"/>
      <c r="HI25" s="466"/>
      <c r="HJ25" s="466"/>
      <c r="HK25" s="466"/>
      <c r="HL25" s="466"/>
      <c r="HM25" s="466"/>
      <c r="HN25" s="466"/>
      <c r="HO25" s="466"/>
      <c r="HP25" s="466"/>
      <c r="HQ25" s="466"/>
      <c r="HR25" s="466"/>
      <c r="HS25" s="466"/>
      <c r="HT25" s="466"/>
      <c r="HU25" s="466"/>
      <c r="HV25" s="466"/>
      <c r="HW25" s="466"/>
      <c r="HX25" s="466"/>
      <c r="HY25" s="466"/>
      <c r="HZ25" s="466"/>
      <c r="IA25" s="466"/>
      <c r="IB25" s="466"/>
      <c r="IC25" s="466"/>
      <c r="ID25" s="466"/>
      <c r="IE25" s="466"/>
      <c r="IF25" s="466"/>
      <c r="IG25" s="466"/>
      <c r="IH25" s="466"/>
      <c r="II25" s="466"/>
      <c r="IJ25" s="466"/>
      <c r="IK25" s="466"/>
      <c r="IL25" s="466"/>
      <c r="IM25" s="466"/>
      <c r="IN25" s="466"/>
      <c r="IO25" s="466"/>
      <c r="IP25" s="466"/>
      <c r="IQ25" s="466"/>
      <c r="IR25" s="466"/>
      <c r="IS25" s="466"/>
      <c r="IT25" s="466"/>
      <c r="IU25" s="466"/>
      <c r="IV25" s="466"/>
    </row>
    <row r="26" spans="1:12" ht="12.75">
      <c r="A26" s="54"/>
      <c r="B26" s="49"/>
      <c r="C26" s="254" t="s">
        <v>1137</v>
      </c>
      <c r="D26" s="469">
        <f>MIN($D$12,ROUND($D$12/((CHOOSE(($D$14+1),30000,300000,300000)/Tables!$E$245)^2),3))</f>
        <v>18.989</v>
      </c>
      <c r="E26" s="482">
        <f>IF($D$14=0,0,MIN($D$12,ROUND($D$12/(((30000*10)/Tables!$E$245)^2),3)))</f>
        <v>18.989</v>
      </c>
      <c r="F26" s="226"/>
      <c r="G26" s="52"/>
      <c r="H26" s="98"/>
      <c r="I26" s="83"/>
      <c r="J26" s="56"/>
      <c r="K26" s="56"/>
      <c r="L26" s="56"/>
    </row>
    <row r="27" spans="1:12" ht="12.75">
      <c r="A27" s="54"/>
      <c r="B27" s="49"/>
      <c r="C27" s="254" t="s">
        <v>1138</v>
      </c>
      <c r="D27" s="469">
        <f>MIN(D12,ROUND($D$12/(((CHOOSE((D14+1),30000,300000,300000)*2)/Tables!$E$245)^2),3))</f>
        <v>4.747</v>
      </c>
      <c r="E27" s="482">
        <f>IF($D$14=0,0,MIN($D$12,ROUND($D$12/(((30000*20)/Tables!$E$245)^2),3)))</f>
        <v>4.747</v>
      </c>
      <c r="F27" s="226"/>
      <c r="G27" s="52"/>
      <c r="H27" s="98"/>
      <c r="I27" s="83"/>
      <c r="J27" s="56"/>
      <c r="K27" s="56"/>
      <c r="L27" s="56"/>
    </row>
    <row r="28" spans="1:12" ht="12.75">
      <c r="A28" s="54"/>
      <c r="B28" s="49"/>
      <c r="C28" s="254" t="s">
        <v>1139</v>
      </c>
      <c r="D28" s="469">
        <f>MIN(D12,ROUND($D$12/(((CHOOSE((D14+1),30000,300000,300000)*4)/Tables!$E$245)^2),3))</f>
        <v>1.187</v>
      </c>
      <c r="E28" s="482">
        <f>IF($D$14=0,0,MIN($D$12,ROUND($D$12/(((30000*40)/Tables!$E$245)^2),3)))</f>
        <v>1.187</v>
      </c>
      <c r="F28" s="226"/>
      <c r="G28" s="52"/>
      <c r="H28" s="98"/>
      <c r="I28" s="83"/>
      <c r="J28" s="56"/>
      <c r="K28" s="56"/>
      <c r="L28" s="56"/>
    </row>
    <row r="29" spans="1:12" ht="12.75">
      <c r="A29" s="54"/>
      <c r="B29" s="49"/>
      <c r="C29" s="254" t="s">
        <v>1140</v>
      </c>
      <c r="D29" s="469">
        <f>MIN(D12,ROUND($D$12/(((CHOOSE((D14+1),30000,300000,300000)*8)/Tables!$E$245)^2),3))</f>
        <v>0.297</v>
      </c>
      <c r="E29" s="482">
        <f>IF($D$14=2,MIN($D$12,ROUND($D$12/(((30000*80)/Tables!$E$245)^2),3)),0)</f>
        <v>0</v>
      </c>
      <c r="F29" s="226"/>
      <c r="G29" s="52"/>
      <c r="H29" s="98"/>
      <c r="I29" s="83"/>
      <c r="J29" s="56"/>
      <c r="K29" s="56"/>
      <c r="L29" s="56"/>
    </row>
    <row r="30" spans="1:12" ht="12.75">
      <c r="A30" s="54"/>
      <c r="B30" s="49"/>
      <c r="C30" s="264" t="s">
        <v>1134</v>
      </c>
      <c r="D30" s="470" t="str">
        <f>CONCATENATE("(",IF(D17=0,"+0",CHOOSE((D7+1),"+0","+0","+0","+0","+0","+0","+0","+0","+0","+0","+3","+3","+4","+4","+5","+6","+6","+7","+7","+8","+8","+9")),") 1/",ROUND(Tables!F250,0),"-",ROUND(Tables!F251,0),"-",ROUND(Tables!F252,0),"-",ROUND(Tables!F253,0))</f>
        <v>(+0) 1/0-0-0-0</v>
      </c>
      <c r="E30" s="224" t="str">
        <f>CONCATENATE("(",IF(Tables!$E$259&gt;=0,"+",""),Tables!$E$259,IF(D17=0,"",CHOOSE((D7+1),"","","","","","","","","","",",+3",",+3",",+4",",+4",",+5",",+6",",+6",",+7",",+7",",+8",",+8",",+9")),") ",IF(Tables!$F$254=0,"",CONCATENATE(Tables!$H$254,":",Tables!$F$254))," ",IF(Tables!$F$255=0,"",CONCATENATE(Tables!$H$255,":",Tables!$F$255))," ",IF(Tables!$F$256=0,"",CONCATENATE(Tables!$H$256,":",Tables!$F$256))," ",IF(Tables!$F$257=0,"",CONCATENATE(Tables!$H$257,":",Tables!$F$257))," ",IF(Tables!$F$258=0,"",CONCATENATE(Tables!$H$258,":",Tables!$F$258))," PDR:",IF(Tables!$E$260&gt;=0,"+",""),Tables!$E$260)</f>
        <v>(+0) 13:7 11:5 9:3 7:2  PDR:+0</v>
      </c>
      <c r="F30" s="229"/>
      <c r="G30" s="52"/>
      <c r="H30" s="98"/>
      <c r="I30" s="83"/>
      <c r="J30" s="56"/>
      <c r="K30" s="56"/>
      <c r="L30" s="56"/>
    </row>
    <row r="31" spans="1:12" ht="12.75">
      <c r="A31" s="54"/>
      <c r="B31" s="49"/>
      <c r="C31" s="52"/>
      <c r="D31" s="52"/>
      <c r="E31" s="52"/>
      <c r="F31" s="52"/>
      <c r="G31" s="52"/>
      <c r="H31" s="98"/>
      <c r="I31" s="83"/>
      <c r="J31" s="56"/>
      <c r="K31" s="56"/>
      <c r="L31" s="56"/>
    </row>
    <row r="32" spans="1:12" ht="12.75">
      <c r="A32" s="54"/>
      <c r="B32" s="49"/>
      <c r="C32" s="205" t="s">
        <v>1141</v>
      </c>
      <c r="D32" s="207" t="s">
        <v>910</v>
      </c>
      <c r="E32" s="207" t="s">
        <v>911</v>
      </c>
      <c r="F32" s="207" t="s">
        <v>912</v>
      </c>
      <c r="G32" s="207" t="s">
        <v>913</v>
      </c>
      <c r="H32" s="142" t="s">
        <v>1142</v>
      </c>
      <c r="I32" s="83"/>
      <c r="J32" s="56"/>
      <c r="K32" s="56"/>
      <c r="L32" s="56"/>
    </row>
    <row r="33" spans="1:12" ht="12.75">
      <c r="A33" s="54"/>
      <c r="B33" s="49"/>
      <c r="C33" s="177" t="s">
        <v>1143</v>
      </c>
      <c r="D33" s="18">
        <f>IF(AND(IF(D7&lt;13,TRUE(),FALSE()),IF(D11=1,TRUE(),FALSE())),#VALUE!,IF(AND(IF(D7&lt;9,TRUE(),FALSE()),IF(D15=1,TRUE(),FALSE())),#VALUE!,IF(D12&gt;D7*50,#VALUE!,D12*F33*CHOOSE((D7+1),0,0,0,0,0,0,1,1,0.1,0.01,0.01,0.001,0.001,0.001,0.001,0.0005,0.0005,0.0005,0.0005,0.0001,0.0001)*Tables!E246)))</f>
        <v>0.3436116964863837</v>
      </c>
      <c r="E33" s="18">
        <f>D33</f>
        <v>0.3436116964863837</v>
      </c>
      <c r="F33" s="18">
        <f>(PI()*D9^2)/4*D18</f>
        <v>4.908738521234052</v>
      </c>
      <c r="G33" s="18">
        <f>D19*Tables!E243/1800*D18</f>
        <v>9.722222222222221</v>
      </c>
      <c r="H33" s="116">
        <f>CHOOSE((D8+1),0.2,0.2,0.1,0.1,0.1)*D33</f>
        <v>0.06872233929727674</v>
      </c>
      <c r="I33" s="83"/>
      <c r="J33" s="56"/>
      <c r="K33" s="56"/>
      <c r="L33" s="56"/>
    </row>
    <row r="34" spans="1:12" ht="12.75">
      <c r="A34" s="54"/>
      <c r="B34" s="49"/>
      <c r="C34" s="177" t="s">
        <v>961</v>
      </c>
      <c r="D34" s="19">
        <f>VLOOKUP(CHOOSE((D14+1),5,6,6),Tables!$D$119:$Z$125,((D7+1)+1))*D18</f>
        <v>16.67</v>
      </c>
      <c r="E34" s="19">
        <f>D34</f>
        <v>16.67</v>
      </c>
      <c r="F34" s="148"/>
      <c r="G34" s="148"/>
      <c r="H34" s="120">
        <f>D34*0.1</f>
        <v>1.6670000000000003</v>
      </c>
      <c r="I34" s="83"/>
      <c r="J34" s="56"/>
      <c r="K34" s="56"/>
      <c r="L34" s="56"/>
    </row>
    <row r="35" spans="1:12" ht="12.75">
      <c r="A35" s="54"/>
      <c r="B35" s="49"/>
      <c r="C35" s="177" t="s">
        <v>954</v>
      </c>
      <c r="D35" s="18">
        <f>Tables!E243*CHOOSE((D7+1),0,0,0,0,0,0,0,0.25,0.125,0.1,0.08,0.06,0.05,0.045,0.04,0.035,0.03,0.025,0.02,0.015,0.01,0.005)*D18</f>
        <v>17.5</v>
      </c>
      <c r="E35" s="18">
        <f>D35*2</f>
        <v>35</v>
      </c>
      <c r="F35" s="148"/>
      <c r="G35" s="148"/>
      <c r="H35" s="116">
        <f>D35*0.01</f>
        <v>0.17500000000000002</v>
      </c>
      <c r="I35" s="83"/>
      <c r="J35" s="56"/>
      <c r="K35" s="56"/>
      <c r="L35" s="56"/>
    </row>
    <row r="36" spans="1:256" ht="12.75">
      <c r="A36" s="456"/>
      <c r="B36" s="457"/>
      <c r="C36" s="484" t="s">
        <v>1144</v>
      </c>
      <c r="D36" s="460">
        <f>Tables!E247/CHOOSE(($D$7+1),0,0,0,0.04,0.06,0.08,0.1,0.2,0.4,0.8,1,1.5,2,2.5,3,3.5,4,6,8,10,12)</f>
        <v>0</v>
      </c>
      <c r="E36" s="460">
        <f>D36*CHOOSE(($D$7+1),0,0,0,0,2,2,2,2,2,2,2,2,2,2.5,2.5,2.5,2.5,2.5,3,4,5,6)</f>
        <v>0</v>
      </c>
      <c r="F36" s="148"/>
      <c r="G36" s="148"/>
      <c r="H36" s="461">
        <f>D36*CHOOSE(($D$7+1),0,0,0,0,0.001,0.001,0.0008,0.0008,0.001,0.002,0.003,0.004,0.005,0.008,0.01,0.015,0.02,0.025,0.03,0.04,0.05,0.1)*2</f>
        <v>0</v>
      </c>
      <c r="I36" s="464"/>
      <c r="J36" s="465"/>
      <c r="K36" s="465"/>
      <c r="L36" s="465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66"/>
      <c r="DY36" s="46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6"/>
      <c r="EN36" s="466"/>
      <c r="EO36" s="466"/>
      <c r="EP36" s="466"/>
      <c r="EQ36" s="466"/>
      <c r="ER36" s="466"/>
      <c r="ES36" s="466"/>
      <c r="ET36" s="466"/>
      <c r="EU36" s="466"/>
      <c r="EV36" s="466"/>
      <c r="EW36" s="466"/>
      <c r="EX36" s="466"/>
      <c r="EY36" s="466"/>
      <c r="EZ36" s="466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466"/>
      <c r="FL36" s="466"/>
      <c r="FM36" s="466"/>
      <c r="FN36" s="466"/>
      <c r="FO36" s="466"/>
      <c r="FP36" s="466"/>
      <c r="FQ36" s="466"/>
      <c r="FR36" s="466"/>
      <c r="FS36" s="466"/>
      <c r="FT36" s="466"/>
      <c r="FU36" s="466"/>
      <c r="FV36" s="466"/>
      <c r="FW36" s="466"/>
      <c r="FX36" s="466"/>
      <c r="FY36" s="466"/>
      <c r="FZ36" s="466"/>
      <c r="GA36" s="466"/>
      <c r="GB36" s="466"/>
      <c r="GC36" s="466"/>
      <c r="GD36" s="466"/>
      <c r="GE36" s="466"/>
      <c r="GF36" s="466"/>
      <c r="GG36" s="466"/>
      <c r="GH36" s="466"/>
      <c r="GI36" s="466"/>
      <c r="GJ36" s="466"/>
      <c r="GK36" s="466"/>
      <c r="GL36" s="466"/>
      <c r="GM36" s="466"/>
      <c r="GN36" s="466"/>
      <c r="GO36" s="466"/>
      <c r="GP36" s="466"/>
      <c r="GQ36" s="466"/>
      <c r="GR36" s="466"/>
      <c r="GS36" s="466"/>
      <c r="GT36" s="466"/>
      <c r="GU36" s="466"/>
      <c r="GV36" s="466"/>
      <c r="GW36" s="466"/>
      <c r="GX36" s="466"/>
      <c r="GY36" s="466"/>
      <c r="GZ36" s="466"/>
      <c r="HA36" s="466"/>
      <c r="HB36" s="466"/>
      <c r="HC36" s="466"/>
      <c r="HD36" s="466"/>
      <c r="HE36" s="466"/>
      <c r="HF36" s="466"/>
      <c r="HG36" s="466"/>
      <c r="HH36" s="466"/>
      <c r="HI36" s="466"/>
      <c r="HJ36" s="466"/>
      <c r="HK36" s="466"/>
      <c r="HL36" s="466"/>
      <c r="HM36" s="466"/>
      <c r="HN36" s="466"/>
      <c r="HO36" s="466"/>
      <c r="HP36" s="466"/>
      <c r="HQ36" s="466"/>
      <c r="HR36" s="466"/>
      <c r="HS36" s="466"/>
      <c r="HT36" s="466"/>
      <c r="HU36" s="466"/>
      <c r="HV36" s="466"/>
      <c r="HW36" s="466"/>
      <c r="HX36" s="466"/>
      <c r="HY36" s="466"/>
      <c r="HZ36" s="466"/>
      <c r="IA36" s="466"/>
      <c r="IB36" s="466"/>
      <c r="IC36" s="466"/>
      <c r="ID36" s="466"/>
      <c r="IE36" s="466"/>
      <c r="IF36" s="466"/>
      <c r="IG36" s="466"/>
      <c r="IH36" s="466"/>
      <c r="II36" s="466"/>
      <c r="IJ36" s="466"/>
      <c r="IK36" s="466"/>
      <c r="IL36" s="466"/>
      <c r="IM36" s="466"/>
      <c r="IN36" s="466"/>
      <c r="IO36" s="466"/>
      <c r="IP36" s="466"/>
      <c r="IQ36" s="466"/>
      <c r="IR36" s="466"/>
      <c r="IS36" s="466"/>
      <c r="IT36" s="466"/>
      <c r="IU36" s="466"/>
      <c r="IV36" s="466"/>
    </row>
    <row r="37" spans="1:12" ht="12.75">
      <c r="A37" s="54"/>
      <c r="B37" s="49"/>
      <c r="C37" s="177" t="s">
        <v>1145</v>
      </c>
      <c r="D37" s="18">
        <f>IF(D16=0,0,7)</f>
        <v>7</v>
      </c>
      <c r="E37" s="18">
        <f>IF(D16=0,0,0.2)</f>
        <v>0.2</v>
      </c>
      <c r="F37" s="148"/>
      <c r="G37" s="148"/>
      <c r="H37" s="69">
        <f>CHOOSE((D7+1),0,0,0,0,0.0001,0.0002,0.0003,0.0005,0.00075,0.001,0.0015,0.0015,0.0015,0.002,0.002,0.002,0.002,0.0025,0.0025,0.0025,0.0025,0.003)*IF(D16=0,0,1)</f>
        <v>0.0015</v>
      </c>
      <c r="I37" s="83"/>
      <c r="J37" s="56"/>
      <c r="K37" s="56"/>
      <c r="L37" s="56"/>
    </row>
    <row r="38" spans="1:12" ht="12.75">
      <c r="A38" s="54"/>
      <c r="B38" s="49"/>
      <c r="C38" s="177" t="s">
        <v>1146</v>
      </c>
      <c r="D38" s="19">
        <f>IF(D17=0,0,VLOOKUP(CHOOSE((D14+1),5,6,6),Tables!$D$128:$Z$134,((D7+1)+1)))</f>
        <v>0</v>
      </c>
      <c r="E38" s="19">
        <f>D38</f>
        <v>0</v>
      </c>
      <c r="F38" s="106"/>
      <c r="G38" s="19">
        <f>D38*0.01</f>
        <v>0</v>
      </c>
      <c r="H38" s="120">
        <f>D38</f>
        <v>0</v>
      </c>
      <c r="I38" s="83"/>
      <c r="J38" s="56"/>
      <c r="K38" s="56"/>
      <c r="L38" s="56"/>
    </row>
    <row r="39" spans="1:12" ht="12.75">
      <c r="A39" s="54"/>
      <c r="B39" s="49"/>
      <c r="C39" s="276" t="s">
        <v>570</v>
      </c>
      <c r="D39" s="19">
        <f>Tables!E249*Tables!F249</f>
        <v>0</v>
      </c>
      <c r="E39" s="19">
        <f>D39*Tables!F10</f>
        <v>0</v>
      </c>
      <c r="F39" s="106"/>
      <c r="G39" s="19">
        <f>D39*Tables!F12</f>
        <v>0</v>
      </c>
      <c r="H39" s="120">
        <f>Tables!F11*D39</f>
        <v>0</v>
      </c>
      <c r="I39" s="83"/>
      <c r="J39" s="56"/>
      <c r="K39" s="56"/>
      <c r="L39" s="56"/>
    </row>
    <row r="40" spans="1:12" ht="12.75">
      <c r="A40" s="54"/>
      <c r="B40" s="49"/>
      <c r="C40" s="177" t="s">
        <v>1132</v>
      </c>
      <c r="D40" s="18">
        <f>IF(D22=0,0,CHOOSE((D22+1),0,42,84,700,1400)-SUM(D33:D39))</f>
        <v>0.48638830351361406</v>
      </c>
      <c r="E40" s="237"/>
      <c r="F40" s="237"/>
      <c r="G40" s="148"/>
      <c r="H40" s="75"/>
      <c r="I40" s="83"/>
      <c r="J40" s="56"/>
      <c r="K40" s="56"/>
      <c r="L40" s="56"/>
    </row>
    <row r="41" spans="1:12" ht="12.75">
      <c r="A41" s="54"/>
      <c r="B41" s="49"/>
      <c r="C41" s="13" t="s">
        <v>341</v>
      </c>
      <c r="D41" s="105">
        <f>IF(D40&lt;0,#VALUE!,SUM(D33:D40))</f>
        <v>42</v>
      </c>
      <c r="E41" s="105">
        <f>SUM(E33:E40)</f>
        <v>52.21361169648639</v>
      </c>
      <c r="F41" s="105">
        <f>SUM(F33:F40)</f>
        <v>4.908738521234052</v>
      </c>
      <c r="G41" s="105">
        <f>SUM(G33:G40)</f>
        <v>9.722222222222221</v>
      </c>
      <c r="H41" s="139">
        <f>SUM(H33:H40)</f>
        <v>1.912222339297277</v>
      </c>
      <c r="I41" s="83"/>
      <c r="J41" s="56"/>
      <c r="K41" s="56"/>
      <c r="L41" s="56"/>
    </row>
    <row r="42" spans="1:12" ht="12.75">
      <c r="A42" s="54"/>
      <c r="B42" s="49"/>
      <c r="C42" s="52"/>
      <c r="D42" s="255"/>
      <c r="E42" s="255"/>
      <c r="F42" s="255"/>
      <c r="G42" s="255"/>
      <c r="H42" s="98"/>
      <c r="I42" s="83"/>
      <c r="J42" s="56"/>
      <c r="K42" s="56"/>
      <c r="L42" s="56"/>
    </row>
    <row r="43" spans="1:12" ht="12.75">
      <c r="A43" s="54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</row>
    <row r="44" spans="1:12" ht="12.75">
      <c r="A44" s="54"/>
      <c r="B44" s="49"/>
      <c r="C44" s="254" t="s">
        <v>1148</v>
      </c>
      <c r="D44" s="37">
        <v>1</v>
      </c>
      <c r="E44" s="223"/>
      <c r="F44" s="227"/>
      <c r="G44" s="255"/>
      <c r="H44" s="98"/>
      <c r="I44" s="83"/>
      <c r="J44" s="56"/>
      <c r="K44" s="56"/>
      <c r="L44" s="56"/>
    </row>
    <row r="45" spans="1:12" ht="12.75">
      <c r="A45" s="54"/>
      <c r="B45" s="49"/>
      <c r="C45" s="177" t="s">
        <v>1149</v>
      </c>
      <c r="D45" s="30">
        <f>IF(D44&gt;1,1,0)</f>
        <v>0</v>
      </c>
      <c r="E45" s="223"/>
      <c r="F45" s="227"/>
      <c r="G45" s="255"/>
      <c r="H45" s="98"/>
      <c r="I45" s="83"/>
      <c r="J45" s="56"/>
      <c r="K45" s="56"/>
      <c r="L45" s="56"/>
    </row>
    <row r="46" spans="1:12" ht="12.75">
      <c r="A46" s="54"/>
      <c r="B46" s="49"/>
      <c r="C46" s="179" t="s">
        <v>1127</v>
      </c>
      <c r="D46" s="147">
        <f>IF(D44&gt;1,1,0)</f>
        <v>0</v>
      </c>
      <c r="E46" s="552"/>
      <c r="F46" s="553"/>
      <c r="G46" s="255"/>
      <c r="H46" s="98"/>
      <c r="I46" s="83"/>
      <c r="J46" s="56"/>
      <c r="K46" s="56"/>
      <c r="L46" s="56"/>
    </row>
    <row r="47" spans="1:12" ht="12.75">
      <c r="A47" s="54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</row>
    <row r="48" spans="1:12" ht="12.75">
      <c r="A48" s="54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</row>
    <row r="49" spans="1:256" ht="12.75">
      <c r="A49" s="456"/>
      <c r="B49" s="457"/>
      <c r="C49" s="484" t="s">
        <v>1134</v>
      </c>
      <c r="D49" s="485" t="str">
        <f>CONCATENATE("(",IF(D46+D17=0,"+0",CHOOSE((D7+1),"+0","+0","+0","+0","+0","+0","+0","+0","+0","+0","+3","+3","+4","+4","+5","+6","+6","+7","+7","+8","+8","+9")),") 1/",ROUND(Tables!G250,0),"-",ROUND(Tables!G251,0),"-",ROUND(Tables!G252,0),"-",ROUND(Tables!G253,0)," [",ROUND(D18*D44,0),",",ROUND(D19,0),"/",ROUND(Tables!E250,0),"-",ROUND(Tables!E251,0),"-",ROUND(Tables!E252,0),"-",ROUND(Tables!E253,0),"]"," ",CHOOSE((D14+1),"(SR","(LR","(LR"),IF(D21=0,"",CONCATENATE(" /Ar:",ROUND(VLOOKUP(D21/1.43,Tables!A2:B61,2)*10,0)," [",ROUND(D21,0),"]")),")")</f>
        <v>(+0) 1/0-0-0-0 [1,50/11-5-3-1] (LR)</v>
      </c>
      <c r="E49" s="493"/>
      <c r="F49" s="492"/>
      <c r="G49" s="462"/>
      <c r="H49" s="463"/>
      <c r="I49" s="464"/>
      <c r="J49" s="465"/>
      <c r="K49" s="465"/>
      <c r="L49" s="465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66"/>
      <c r="EC49" s="466"/>
      <c r="ED49" s="466"/>
      <c r="EE49" s="466"/>
      <c r="EF49" s="466"/>
      <c r="EG49" s="466"/>
      <c r="EH49" s="466"/>
      <c r="EI49" s="466"/>
      <c r="EJ49" s="466"/>
      <c r="EK49" s="466"/>
      <c r="EL49" s="466"/>
      <c r="EM49" s="466"/>
      <c r="EN49" s="466"/>
      <c r="EO49" s="466"/>
      <c r="EP49" s="466"/>
      <c r="EQ49" s="466"/>
      <c r="ER49" s="466"/>
      <c r="ES49" s="466"/>
      <c r="ET49" s="466"/>
      <c r="EU49" s="466"/>
      <c r="EV49" s="466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6"/>
      <c r="FK49" s="466"/>
      <c r="FL49" s="466"/>
      <c r="FM49" s="466"/>
      <c r="FN49" s="466"/>
      <c r="FO49" s="466"/>
      <c r="FP49" s="466"/>
      <c r="FQ49" s="466"/>
      <c r="FR49" s="466"/>
      <c r="FS49" s="466"/>
      <c r="FT49" s="466"/>
      <c r="FU49" s="466"/>
      <c r="FV49" s="466"/>
      <c r="FW49" s="466"/>
      <c r="FX49" s="466"/>
      <c r="FY49" s="466"/>
      <c r="FZ49" s="466"/>
      <c r="GA49" s="466"/>
      <c r="GB49" s="466"/>
      <c r="GC49" s="466"/>
      <c r="GD49" s="466"/>
      <c r="GE49" s="466"/>
      <c r="GF49" s="466"/>
      <c r="GG49" s="466"/>
      <c r="GH49" s="466"/>
      <c r="GI49" s="466"/>
      <c r="GJ49" s="466"/>
      <c r="GK49" s="466"/>
      <c r="GL49" s="466"/>
      <c r="GM49" s="466"/>
      <c r="GN49" s="466"/>
      <c r="GO49" s="466"/>
      <c r="GP49" s="466"/>
      <c r="GQ49" s="466"/>
      <c r="GR49" s="466"/>
      <c r="GS49" s="466"/>
      <c r="GT49" s="466"/>
      <c r="GU49" s="466"/>
      <c r="GV49" s="466"/>
      <c r="GW49" s="466"/>
      <c r="GX49" s="466"/>
      <c r="GY49" s="466"/>
      <c r="GZ49" s="466"/>
      <c r="HA49" s="466"/>
      <c r="HB49" s="466"/>
      <c r="HC49" s="466"/>
      <c r="HD49" s="466"/>
      <c r="HE49" s="466"/>
      <c r="HF49" s="466"/>
      <c r="HG49" s="466"/>
      <c r="HH49" s="466"/>
      <c r="HI49" s="466"/>
      <c r="HJ49" s="466"/>
      <c r="HK49" s="466"/>
      <c r="HL49" s="466"/>
      <c r="HM49" s="466"/>
      <c r="HN49" s="466"/>
      <c r="HO49" s="466"/>
      <c r="HP49" s="466"/>
      <c r="HQ49" s="466"/>
      <c r="HR49" s="466"/>
      <c r="HS49" s="466"/>
      <c r="HT49" s="466"/>
      <c r="HU49" s="466"/>
      <c r="HV49" s="466"/>
      <c r="HW49" s="466"/>
      <c r="HX49" s="466"/>
      <c r="HY49" s="466"/>
      <c r="HZ49" s="466"/>
      <c r="IA49" s="466"/>
      <c r="IB49" s="466"/>
      <c r="IC49" s="466"/>
      <c r="ID49" s="466"/>
      <c r="IE49" s="466"/>
      <c r="IF49" s="466"/>
      <c r="IG49" s="466"/>
      <c r="IH49" s="466"/>
      <c r="II49" s="466"/>
      <c r="IJ49" s="466"/>
      <c r="IK49" s="466"/>
      <c r="IL49" s="466"/>
      <c r="IM49" s="466"/>
      <c r="IN49" s="466"/>
      <c r="IO49" s="466"/>
      <c r="IP49" s="466"/>
      <c r="IQ49" s="466"/>
      <c r="IR49" s="466"/>
      <c r="IS49" s="466"/>
      <c r="IT49" s="466"/>
      <c r="IU49" s="466"/>
      <c r="IV49" s="466"/>
    </row>
    <row r="50" spans="1:12" ht="12.75">
      <c r="A50" s="54"/>
      <c r="B50" s="49"/>
      <c r="C50" s="264" t="s">
        <v>1135</v>
      </c>
      <c r="D50" s="224" t="str">
        <f>CONCATENATE("(",IF(Tables!$E$259&gt;=0,"+",""),Tables!$E$259,IF(D17+D45=0,"",CHOOSE((D7+1),"","","","","","","","","","",",+3",",+3",",+4",",+4",",+5",",+6",",+6",",+7",",+7",",+8",",+8",",+9")),") ",IF(Tables!$G$254=0,"",CONCATENATE(Tables!$H$254,":",Tables!$G$254))," ",IF(Tables!$G$255=0,"",CONCATENATE(Tables!$H$255,":",Tables!$G$255))," ",IF(Tables!$G$256=0,"",CONCATENATE(Tables!$H$256,":",Tables!$G$256))," ",IF(Tables!$G$257=0,"",CONCATENATE(Tables!$H$257,":",Tables!$G$257))," ",IF(Tables!$G$258=0,"",CONCATENATE(Tables!$H$258,":",Tables!$G$258))," PDR:",IF(Tables!$E$260&gt;=0,"+",""),Tables!$E$261)</f>
        <v>(+0) 13:7 11:5 9:3 7:2  PDR:+0</v>
      </c>
      <c r="E50" s="59"/>
      <c r="F50" s="214"/>
      <c r="G50" s="52"/>
      <c r="H50" s="98"/>
      <c r="I50" s="83"/>
      <c r="J50" s="56"/>
      <c r="K50" s="56"/>
      <c r="L50" s="56"/>
    </row>
    <row r="51" spans="1:12" ht="12.75">
      <c r="A51" s="54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</row>
    <row r="52" spans="1:12" ht="12.75">
      <c r="A52" s="54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</row>
    <row r="53" spans="1:12" ht="12.75">
      <c r="A53" s="54"/>
      <c r="B53" s="49"/>
      <c r="C53" s="177" t="s">
        <v>1146</v>
      </c>
      <c r="D53" s="19">
        <f>IF(D46=0,0,VLOOKUP(CHOOSE((D14+1),5,6,6),Tables!$D$128:$Z$134,((D7+1)+1)))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</row>
    <row r="54" spans="1:12" ht="12.75">
      <c r="A54" s="54"/>
      <c r="B54" s="49"/>
      <c r="C54" s="177" t="s">
        <v>1152</v>
      </c>
      <c r="D54" s="19">
        <f>IF(D45=0,0,IF(Design!E230&gt;0,14,7))</f>
        <v>0</v>
      </c>
      <c r="E54" s="19">
        <f>IF(D45&gt;0,0.2,0)</f>
        <v>0</v>
      </c>
      <c r="F54" s="106"/>
      <c r="G54" s="106"/>
      <c r="H54" s="69">
        <f>CHOOSE((D7+1),0,0,0,0,0.0001,0.0002,0.0003,0.0005,0.00075,0.001,0.0015,0.0015,0.0015,0.002,0.002,0.002,0.002,0.0025,0.0025,0.0025,0.0025,0.003)*IF(D45=0,0,1)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</row>
    <row r="55" spans="1:12" ht="12.75">
      <c r="A55" s="54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</row>
    <row r="56" spans="1:12" ht="12.75">
      <c r="A56" s="54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</row>
    <row r="57" spans="1:12" ht="12.75">
      <c r="A57" s="54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</row>
    <row r="58" spans="1:12" ht="12.75">
      <c r="A58" s="54"/>
      <c r="B58" s="49"/>
      <c r="C58" s="260" t="s">
        <v>1154</v>
      </c>
      <c r="D58" s="144">
        <f>D55+D41*D44</f>
        <v>42</v>
      </c>
      <c r="E58" s="255"/>
      <c r="F58" s="255"/>
      <c r="G58" s="255"/>
      <c r="H58" s="98"/>
      <c r="I58" s="83"/>
      <c r="J58" s="56"/>
      <c r="K58" s="56"/>
      <c r="L58" s="56"/>
    </row>
    <row r="59" spans="1:12" ht="12.75">
      <c r="A59" s="54"/>
      <c r="B59" s="49"/>
      <c r="C59" s="260" t="s">
        <v>1155</v>
      </c>
      <c r="D59" s="144">
        <f>E55+(E41*D44)</f>
        <v>52.21361169648639</v>
      </c>
      <c r="E59" s="255"/>
      <c r="F59" s="255"/>
      <c r="G59" s="255"/>
      <c r="H59" s="98"/>
      <c r="I59" s="83"/>
      <c r="J59" s="56"/>
      <c r="K59" s="56"/>
      <c r="L59" s="56"/>
    </row>
    <row r="60" spans="1:12" ht="12.75">
      <c r="A60" s="54"/>
      <c r="B60" s="49"/>
      <c r="C60" s="260" t="s">
        <v>1156</v>
      </c>
      <c r="D60" s="144">
        <f>CHOOSE((D$8+1),CHOOSE((D$22+1),D$9^2,10,16,90,150),CHOOSE((D$22+1),D12*(D$33/F$33),0,0,90,150),D$9^2,D$9^2,D$9^2)*D44</f>
        <v>10</v>
      </c>
      <c r="E60" s="255"/>
      <c r="F60" s="255"/>
      <c r="G60" s="255"/>
      <c r="H60" s="98"/>
      <c r="I60" s="83"/>
      <c r="J60" s="56"/>
      <c r="K60" s="56"/>
      <c r="L60" s="56"/>
    </row>
    <row r="61" spans="1:12" ht="12.75">
      <c r="A61" s="54"/>
      <c r="B61" s="49"/>
      <c r="C61" s="260" t="s">
        <v>1157</v>
      </c>
      <c r="D61" s="144">
        <f>G55+(G41*D44)</f>
        <v>9.722222222222221</v>
      </c>
      <c r="E61" s="255"/>
      <c r="F61" s="255"/>
      <c r="G61" s="255"/>
      <c r="H61" s="98"/>
      <c r="I61" s="83"/>
      <c r="J61" s="56"/>
      <c r="K61" s="56"/>
      <c r="L61" s="56"/>
    </row>
    <row r="62" spans="1:12" ht="12.75">
      <c r="A62" s="54"/>
      <c r="B62" s="49"/>
      <c r="C62" s="260" t="s">
        <v>1158</v>
      </c>
      <c r="D62" s="116">
        <f>H55+(H41*D44)</f>
        <v>1.912222339297277</v>
      </c>
      <c r="E62" s="255"/>
      <c r="F62" s="255"/>
      <c r="G62" s="255"/>
      <c r="H62" s="98"/>
      <c r="I62" s="83"/>
      <c r="J62" s="56"/>
      <c r="K62" s="56"/>
      <c r="L62" s="56"/>
    </row>
    <row r="63" spans="1:12" ht="12.75">
      <c r="A63" s="54"/>
      <c r="B63" s="49"/>
      <c r="C63" s="261" t="s">
        <v>1159</v>
      </c>
      <c r="D63" s="146">
        <v>1</v>
      </c>
      <c r="E63" s="255"/>
      <c r="F63" s="255"/>
      <c r="G63" s="255"/>
      <c r="H63" s="98"/>
      <c r="I63" s="83"/>
      <c r="J63" s="56"/>
      <c r="K63" s="56"/>
      <c r="L63" s="56"/>
    </row>
    <row r="64" spans="1:12" ht="12.75">
      <c r="A64" s="54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</row>
    <row r="65" spans="1:12" ht="12.75">
      <c r="A65" s="54"/>
      <c r="B65" s="54"/>
      <c r="C65" s="56"/>
      <c r="D65" s="56"/>
      <c r="E65" s="56"/>
      <c r="F65" s="56"/>
      <c r="G65" s="56"/>
      <c r="H65" s="244"/>
      <c r="I65" s="56"/>
      <c r="J65" s="56"/>
      <c r="K65" s="56"/>
      <c r="L65" s="56"/>
    </row>
    <row r="66" spans="1:12" ht="12.75">
      <c r="A66" s="54"/>
      <c r="B66" s="54"/>
      <c r="C66" s="56"/>
      <c r="D66" s="56"/>
      <c r="E66" s="56"/>
      <c r="F66" s="56"/>
      <c r="G66" s="56"/>
      <c r="H66" s="244"/>
      <c r="I66" s="56"/>
      <c r="J66" s="56"/>
      <c r="K66" s="56"/>
      <c r="L66" s="56"/>
    </row>
    <row r="67" spans="1:12" ht="12.75">
      <c r="A67" s="54"/>
      <c r="B67" s="54"/>
      <c r="C67" s="56"/>
      <c r="D67" s="56"/>
      <c r="E67" s="56"/>
      <c r="F67" s="56"/>
      <c r="G67" s="56"/>
      <c r="H67" s="244"/>
      <c r="I67" s="56"/>
      <c r="J67" s="56"/>
      <c r="K67" s="56"/>
      <c r="L67" s="56"/>
    </row>
    <row r="68" spans="1:12" ht="12.75">
      <c r="A68" s="54"/>
      <c r="B68" s="54"/>
      <c r="C68" s="56"/>
      <c r="D68" s="56"/>
      <c r="E68" s="56"/>
      <c r="F68" s="56"/>
      <c r="G68" s="56"/>
      <c r="H68" s="244"/>
      <c r="I68" s="56"/>
      <c r="J68" s="56"/>
      <c r="K68" s="56"/>
      <c r="L68" s="56"/>
    </row>
    <row r="69" spans="1:12" ht="12.75">
      <c r="A69" s="54"/>
      <c r="B69" s="54"/>
      <c r="C69" s="56"/>
      <c r="D69" s="56"/>
      <c r="E69" s="56"/>
      <c r="F69" s="56"/>
      <c r="G69" s="56"/>
      <c r="H69" s="244"/>
      <c r="I69" s="56"/>
      <c r="J69" s="56"/>
      <c r="K69" s="56"/>
      <c r="L69" s="56"/>
    </row>
    <row r="70" spans="1:12" ht="12.75">
      <c r="A70" s="54"/>
      <c r="B70" s="54"/>
      <c r="C70" s="56"/>
      <c r="D70" s="56"/>
      <c r="E70" s="56"/>
      <c r="F70" s="56"/>
      <c r="G70" s="56"/>
      <c r="H70" s="244"/>
      <c r="I70" s="56"/>
      <c r="J70" s="56"/>
      <c r="K70" s="56"/>
      <c r="L70" s="56"/>
    </row>
    <row r="71" spans="1:12" ht="12.75">
      <c r="A71" s="54"/>
      <c r="B71" s="54"/>
      <c r="C71" s="56"/>
      <c r="D71" s="56"/>
      <c r="E71" s="56"/>
      <c r="F71" s="56"/>
      <c r="G71" s="56"/>
      <c r="H71" s="244"/>
      <c r="I71" s="56"/>
      <c r="J71" s="56"/>
      <c r="K71" s="56"/>
      <c r="L71" s="56"/>
    </row>
    <row r="72" spans="1:12" ht="12.75">
      <c r="A72" s="54"/>
      <c r="B72" s="54"/>
      <c r="C72" s="56"/>
      <c r="D72" s="56"/>
      <c r="E72" s="56"/>
      <c r="F72" s="56"/>
      <c r="G72" s="56"/>
      <c r="H72" s="244"/>
      <c r="I72" s="56"/>
      <c r="J72" s="56"/>
      <c r="K72" s="56"/>
      <c r="L72" s="56"/>
    </row>
    <row r="73" spans="1:12" ht="12.75">
      <c r="A73" s="54"/>
      <c r="B73" s="54"/>
      <c r="C73" s="56"/>
      <c r="D73" s="56"/>
      <c r="E73" s="56"/>
      <c r="F73" s="56"/>
      <c r="G73" s="56"/>
      <c r="H73" s="244"/>
      <c r="I73" s="56"/>
      <c r="J73" s="56"/>
      <c r="K73" s="56"/>
      <c r="L73" s="56"/>
    </row>
    <row r="74" spans="1:12" ht="12.75">
      <c r="A74" s="54"/>
      <c r="B74" s="54"/>
      <c r="C74" s="56"/>
      <c r="D74" s="56"/>
      <c r="E74" s="56"/>
      <c r="F74" s="56"/>
      <c r="G74" s="56"/>
      <c r="H74" s="244"/>
      <c r="I74" s="56"/>
      <c r="J74" s="56"/>
      <c r="K74" s="56"/>
      <c r="L74" s="56"/>
    </row>
    <row r="75" spans="1:12" ht="12.75">
      <c r="A75" s="54"/>
      <c r="B75" s="54"/>
      <c r="C75" s="56"/>
      <c r="D75" s="56"/>
      <c r="E75" s="56"/>
      <c r="F75" s="56"/>
      <c r="G75" s="56"/>
      <c r="H75" s="244"/>
      <c r="I75" s="56"/>
      <c r="J75" s="56"/>
      <c r="K75" s="56"/>
      <c r="L75" s="56"/>
    </row>
    <row r="76" spans="1:12" ht="12.75">
      <c r="A76" s="54"/>
      <c r="B76" s="54"/>
      <c r="C76" s="56"/>
      <c r="D76" s="56"/>
      <c r="E76" s="56"/>
      <c r="F76" s="56"/>
      <c r="G76" s="56"/>
      <c r="H76" s="244"/>
      <c r="I76" s="56"/>
      <c r="J76" s="56"/>
      <c r="K76" s="56"/>
      <c r="L76" s="56"/>
    </row>
    <row r="77" spans="1:12" ht="12.75">
      <c r="A77" s="54"/>
      <c r="B77" s="54"/>
      <c r="C77" s="56"/>
      <c r="D77" s="56"/>
      <c r="E77" s="56"/>
      <c r="F77" s="56"/>
      <c r="G77" s="56"/>
      <c r="H77" s="244"/>
      <c r="I77" s="56"/>
      <c r="J77" s="56"/>
      <c r="K77" s="56"/>
      <c r="L77" s="56"/>
    </row>
    <row r="78" spans="1:12" ht="12.75">
      <c r="A78" s="54"/>
      <c r="B78" s="54"/>
      <c r="C78" s="56"/>
      <c r="D78" s="56"/>
      <c r="E78" s="56"/>
      <c r="F78" s="56"/>
      <c r="G78" s="56"/>
      <c r="H78" s="244"/>
      <c r="I78" s="56"/>
      <c r="J78" s="56"/>
      <c r="K78" s="56"/>
      <c r="L78" s="56"/>
    </row>
    <row r="79" spans="1:12" ht="12.75">
      <c r="A79" s="54"/>
      <c r="B79" s="54"/>
      <c r="C79" s="56"/>
      <c r="D79" s="56"/>
      <c r="E79" s="56"/>
      <c r="F79" s="56"/>
      <c r="G79" s="56"/>
      <c r="H79" s="244"/>
      <c r="I79" s="56"/>
      <c r="J79" s="56"/>
      <c r="K79" s="56"/>
      <c r="L79" s="56"/>
    </row>
    <row r="80" spans="1:12" ht="12.75">
      <c r="A80" s="54"/>
      <c r="B80" s="54"/>
      <c r="C80" s="56"/>
      <c r="D80" s="56"/>
      <c r="E80" s="56"/>
      <c r="F80" s="56"/>
      <c r="G80" s="56"/>
      <c r="H80" s="244"/>
      <c r="I80" s="56"/>
      <c r="J80" s="56"/>
      <c r="K80" s="56"/>
      <c r="L80" s="56"/>
    </row>
    <row r="81" spans="1:12" ht="12.75">
      <c r="A81" s="54"/>
      <c r="B81" s="54"/>
      <c r="C81" s="56"/>
      <c r="D81" s="56"/>
      <c r="E81" s="56"/>
      <c r="F81" s="56"/>
      <c r="G81" s="56"/>
      <c r="H81" s="244"/>
      <c r="I81" s="56"/>
      <c r="J81" s="56"/>
      <c r="K81" s="56"/>
      <c r="L81" s="56"/>
    </row>
    <row r="82" spans="1:12" ht="12.75">
      <c r="A82" s="54"/>
      <c r="B82" s="54"/>
      <c r="C82" s="56"/>
      <c r="D82" s="56"/>
      <c r="E82" s="56"/>
      <c r="F82" s="56"/>
      <c r="G82" s="56"/>
      <c r="H82" s="244"/>
      <c r="I82" s="56"/>
      <c r="J82" s="56"/>
      <c r="K82" s="56"/>
      <c r="L82" s="56"/>
    </row>
    <row r="83" spans="1:12" ht="12.75">
      <c r="A83" s="54"/>
      <c r="B83" s="54"/>
      <c r="C83" s="56"/>
      <c r="D83" s="56"/>
      <c r="E83" s="56"/>
      <c r="F83" s="56"/>
      <c r="G83" s="56"/>
      <c r="H83" s="244"/>
      <c r="I83" s="56"/>
      <c r="J83" s="56"/>
      <c r="K83" s="56"/>
      <c r="L83" s="56"/>
    </row>
    <row r="84" spans="1:12" ht="12.75">
      <c r="A84" s="54"/>
      <c r="B84" s="54"/>
      <c r="C84" s="56"/>
      <c r="D84" s="56"/>
      <c r="E84" s="56"/>
      <c r="F84" s="56"/>
      <c r="G84" s="56"/>
      <c r="H84" s="244"/>
      <c r="I84" s="56"/>
      <c r="J84" s="56"/>
      <c r="K84" s="56"/>
      <c r="L84" s="56"/>
    </row>
    <row r="85" spans="1:12" ht="12.75">
      <c r="A85" s="54"/>
      <c r="B85" s="54"/>
      <c r="C85" s="56"/>
      <c r="D85" s="56"/>
      <c r="E85" s="56"/>
      <c r="F85" s="56"/>
      <c r="G85" s="56"/>
      <c r="H85" s="244"/>
      <c r="I85" s="56"/>
      <c r="J85" s="56"/>
      <c r="K85" s="56"/>
      <c r="L85" s="56"/>
    </row>
    <row r="86" spans="1:12" ht="12.75">
      <c r="A86" s="54"/>
      <c r="B86" s="54"/>
      <c r="C86" s="56"/>
      <c r="D86" s="56"/>
      <c r="E86" s="56"/>
      <c r="F86" s="56"/>
      <c r="G86" s="56"/>
      <c r="H86" s="244"/>
      <c r="I86" s="56"/>
      <c r="J86" s="56"/>
      <c r="K86" s="56"/>
      <c r="L86" s="56"/>
    </row>
    <row r="87" spans="1:12" ht="12.75">
      <c r="A87" s="54"/>
      <c r="B87" s="54"/>
      <c r="C87" s="56"/>
      <c r="D87" s="56"/>
      <c r="E87" s="56"/>
      <c r="F87" s="56"/>
      <c r="G87" s="56"/>
      <c r="H87" s="244"/>
      <c r="I87" s="56"/>
      <c r="J87" s="56"/>
      <c r="K87" s="56"/>
      <c r="L87" s="56"/>
    </row>
    <row r="88" spans="1:12" ht="12.75">
      <c r="A88" s="54"/>
      <c r="B88" s="54"/>
      <c r="C88" s="56"/>
      <c r="D88" s="56"/>
      <c r="E88" s="56"/>
      <c r="F88" s="56"/>
      <c r="G88" s="56"/>
      <c r="H88" s="244"/>
      <c r="I88" s="56"/>
      <c r="J88" s="56"/>
      <c r="K88" s="56"/>
      <c r="L88" s="56"/>
    </row>
    <row r="89" spans="1:12" ht="12.75">
      <c r="A89" s="54"/>
      <c r="B89" s="54"/>
      <c r="C89" s="56"/>
      <c r="D89" s="56"/>
      <c r="E89" s="56"/>
      <c r="F89" s="56"/>
      <c r="G89" s="56"/>
      <c r="H89" s="244"/>
      <c r="I89" s="56"/>
      <c r="J89" s="56"/>
      <c r="K89" s="56"/>
      <c r="L89" s="56"/>
    </row>
    <row r="90" spans="1:12" ht="12.75">
      <c r="A90" s="54"/>
      <c r="B90" s="54"/>
      <c r="C90" s="56"/>
      <c r="D90" s="56"/>
      <c r="E90" s="56"/>
      <c r="F90" s="56"/>
      <c r="G90" s="56"/>
      <c r="H90" s="244"/>
      <c r="I90" s="56"/>
      <c r="J90" s="56"/>
      <c r="K90" s="56"/>
      <c r="L90" s="56"/>
    </row>
    <row r="91" spans="1:12" ht="12.75">
      <c r="A91" s="54"/>
      <c r="B91" s="54"/>
      <c r="C91" s="56"/>
      <c r="D91" s="56"/>
      <c r="E91" s="56"/>
      <c r="F91" s="56"/>
      <c r="G91" s="56"/>
      <c r="H91" s="244"/>
      <c r="I91" s="56"/>
      <c r="J91" s="56"/>
      <c r="K91" s="56"/>
      <c r="L91" s="56"/>
    </row>
    <row r="92" spans="1:12" ht="12.75">
      <c r="A92" s="54"/>
      <c r="B92" s="54"/>
      <c r="C92" s="56"/>
      <c r="D92" s="56"/>
      <c r="E92" s="56"/>
      <c r="F92" s="56"/>
      <c r="G92" s="56"/>
      <c r="H92" s="244"/>
      <c r="I92" s="56"/>
      <c r="J92" s="56"/>
      <c r="K92" s="56"/>
      <c r="L92" s="56"/>
    </row>
    <row r="93" spans="1:12" ht="12.75">
      <c r="A93" s="54"/>
      <c r="B93" s="54"/>
      <c r="C93" s="56"/>
      <c r="D93" s="56"/>
      <c r="E93" s="56"/>
      <c r="F93" s="56"/>
      <c r="G93" s="56"/>
      <c r="H93" s="244"/>
      <c r="I93" s="56"/>
      <c r="J93" s="56"/>
      <c r="K93" s="56"/>
      <c r="L93" s="56"/>
    </row>
    <row r="94" spans="1:12" ht="12.75">
      <c r="A94" s="54"/>
      <c r="B94" s="54"/>
      <c r="C94" s="56"/>
      <c r="D94" s="56"/>
      <c r="E94" s="56"/>
      <c r="F94" s="56"/>
      <c r="G94" s="56"/>
      <c r="H94" s="244"/>
      <c r="I94" s="56"/>
      <c r="J94" s="56"/>
      <c r="K94" s="56"/>
      <c r="L94" s="56"/>
    </row>
    <row r="95" spans="1:12" ht="12.75">
      <c r="A95" s="54"/>
      <c r="B95" s="54"/>
      <c r="C95" s="56"/>
      <c r="D95" s="56"/>
      <c r="E95" s="56"/>
      <c r="F95" s="56"/>
      <c r="G95" s="56"/>
      <c r="H95" s="244"/>
      <c r="I95" s="56"/>
      <c r="J95" s="56"/>
      <c r="K95" s="56"/>
      <c r="L95" s="56"/>
    </row>
    <row r="96" spans="1:12" ht="12.75">
      <c r="A96" s="54"/>
      <c r="B96" s="54"/>
      <c r="C96" s="56"/>
      <c r="D96" s="56"/>
      <c r="E96" s="56"/>
      <c r="F96" s="56"/>
      <c r="G96" s="56"/>
      <c r="H96" s="244"/>
      <c r="I96" s="56"/>
      <c r="J96" s="56"/>
      <c r="K96" s="56"/>
      <c r="L96" s="56"/>
    </row>
    <row r="97" spans="1:12" ht="12.75">
      <c r="A97" s="54"/>
      <c r="B97" s="54"/>
      <c r="C97" s="56"/>
      <c r="D97" s="56"/>
      <c r="E97" s="56"/>
      <c r="F97" s="56"/>
      <c r="G97" s="56"/>
      <c r="H97" s="244"/>
      <c r="I97" s="56"/>
      <c r="J97" s="56"/>
      <c r="K97" s="56"/>
      <c r="L97" s="56"/>
    </row>
    <row r="98" spans="1:12" ht="12.75">
      <c r="A98" s="54"/>
      <c r="B98" s="54"/>
      <c r="C98" s="56"/>
      <c r="D98" s="56"/>
      <c r="E98" s="56"/>
      <c r="F98" s="56"/>
      <c r="G98" s="56"/>
      <c r="H98" s="244"/>
      <c r="I98" s="56"/>
      <c r="J98" s="56"/>
      <c r="K98" s="56"/>
      <c r="L98" s="56"/>
    </row>
    <row r="99" spans="1:12" ht="12.75">
      <c r="A99" s="54"/>
      <c r="B99" s="54"/>
      <c r="C99" s="56"/>
      <c r="D99" s="56"/>
      <c r="E99" s="56"/>
      <c r="F99" s="56"/>
      <c r="G99" s="56"/>
      <c r="H99" s="244"/>
      <c r="I99" s="56"/>
      <c r="J99" s="56"/>
      <c r="K99" s="56"/>
      <c r="L99" s="56"/>
    </row>
    <row r="100" spans="1:12" ht="12.75">
      <c r="A100" s="54"/>
      <c r="B100" s="54"/>
      <c r="C100" s="56"/>
      <c r="D100" s="56"/>
      <c r="E100" s="56"/>
      <c r="F100" s="56"/>
      <c r="G100" s="56"/>
      <c r="H100" s="244"/>
      <c r="I100" s="56"/>
      <c r="J100" s="56"/>
      <c r="K100" s="56"/>
      <c r="L100" s="56"/>
    </row>
    <row r="101" spans="1:12" ht="12.75">
      <c r="A101" s="54"/>
      <c r="B101" s="54"/>
      <c r="C101" s="56"/>
      <c r="D101" s="56"/>
      <c r="E101" s="56"/>
      <c r="F101" s="56"/>
      <c r="G101" s="56"/>
      <c r="H101" s="244"/>
      <c r="I101" s="56"/>
      <c r="J101" s="56"/>
      <c r="K101" s="56"/>
      <c r="L101" s="56"/>
    </row>
    <row r="102" spans="1:12" ht="12.75">
      <c r="A102" s="54"/>
      <c r="B102" s="54"/>
      <c r="C102" s="56"/>
      <c r="D102" s="56"/>
      <c r="E102" s="56"/>
      <c r="F102" s="56"/>
      <c r="G102" s="56"/>
      <c r="H102" s="244"/>
      <c r="I102" s="56"/>
      <c r="J102" s="56"/>
      <c r="K102" s="56"/>
      <c r="L102" s="56"/>
    </row>
    <row r="103" spans="1:12" ht="12.75">
      <c r="A103" s="54"/>
      <c r="B103" s="54"/>
      <c r="C103" s="56"/>
      <c r="D103" s="56"/>
      <c r="E103" s="56"/>
      <c r="F103" s="56"/>
      <c r="G103" s="56"/>
      <c r="H103" s="244"/>
      <c r="I103" s="56"/>
      <c r="J103" s="56"/>
      <c r="K103" s="56"/>
      <c r="L103" s="56"/>
    </row>
    <row r="104" spans="1:12" ht="12.75">
      <c r="A104" s="54"/>
      <c r="B104" s="54"/>
      <c r="C104" s="56"/>
      <c r="D104" s="56"/>
      <c r="E104" s="56"/>
      <c r="F104" s="56"/>
      <c r="G104" s="56"/>
      <c r="H104" s="244"/>
      <c r="I104" s="56"/>
      <c r="J104" s="56"/>
      <c r="K104" s="56"/>
      <c r="L104" s="56"/>
    </row>
    <row r="105" spans="1:12" ht="12.75">
      <c r="A105" s="54"/>
      <c r="B105" s="54"/>
      <c r="C105" s="56"/>
      <c r="D105" s="56"/>
      <c r="E105" s="56"/>
      <c r="F105" s="56"/>
      <c r="G105" s="56"/>
      <c r="H105" s="244"/>
      <c r="I105" s="56"/>
      <c r="J105" s="56"/>
      <c r="K105" s="56"/>
      <c r="L105" s="56"/>
    </row>
    <row r="106" spans="1:12" ht="12.75">
      <c r="A106" s="54"/>
      <c r="B106" s="54"/>
      <c r="C106" s="56"/>
      <c r="D106" s="56"/>
      <c r="E106" s="56"/>
      <c r="F106" s="56"/>
      <c r="G106" s="56"/>
      <c r="H106" s="244"/>
      <c r="I106" s="56"/>
      <c r="J106" s="56"/>
      <c r="K106" s="56"/>
      <c r="L106" s="56"/>
    </row>
    <row r="107" spans="1:12" ht="12.75">
      <c r="A107" s="54"/>
      <c r="B107" s="54"/>
      <c r="C107" s="56"/>
      <c r="D107" s="56"/>
      <c r="E107" s="56"/>
      <c r="F107" s="56"/>
      <c r="G107" s="56"/>
      <c r="H107" s="244"/>
      <c r="I107" s="56"/>
      <c r="J107" s="56"/>
      <c r="K107" s="56"/>
      <c r="L107" s="56"/>
    </row>
    <row r="108" spans="1:12" ht="12.75">
      <c r="A108" s="54"/>
      <c r="B108" s="54"/>
      <c r="C108" s="56"/>
      <c r="D108" s="56"/>
      <c r="E108" s="56"/>
      <c r="F108" s="56"/>
      <c r="G108" s="56"/>
      <c r="H108" s="244"/>
      <c r="I108" s="56"/>
      <c r="J108" s="56"/>
      <c r="K108" s="56"/>
      <c r="L108" s="56"/>
    </row>
    <row r="109" spans="1:12" ht="12.75">
      <c r="A109" s="54"/>
      <c r="B109" s="54"/>
      <c r="C109" s="56"/>
      <c r="D109" s="56"/>
      <c r="E109" s="56"/>
      <c r="F109" s="56"/>
      <c r="G109" s="56"/>
      <c r="H109" s="244"/>
      <c r="I109" s="56"/>
      <c r="J109" s="56"/>
      <c r="K109" s="56"/>
      <c r="L109" s="56"/>
    </row>
    <row r="110" spans="1:12" ht="12.75">
      <c r="A110" s="54"/>
      <c r="B110" s="54"/>
      <c r="C110" s="56"/>
      <c r="D110" s="56"/>
      <c r="E110" s="56"/>
      <c r="F110" s="56"/>
      <c r="G110" s="56"/>
      <c r="H110" s="244"/>
      <c r="I110" s="56"/>
      <c r="J110" s="56"/>
      <c r="K110" s="56"/>
      <c r="L110" s="56"/>
    </row>
    <row r="111" spans="1:12" ht="12.75">
      <c r="A111" s="54"/>
      <c r="B111" s="54"/>
      <c r="C111" s="56"/>
      <c r="D111" s="56"/>
      <c r="E111" s="56"/>
      <c r="F111" s="56"/>
      <c r="G111" s="56"/>
      <c r="H111" s="244"/>
      <c r="I111" s="56"/>
      <c r="J111" s="56"/>
      <c r="K111" s="56"/>
      <c r="L111" s="56"/>
    </row>
    <row r="112" spans="1:12" ht="12.75">
      <c r="A112" s="54"/>
      <c r="B112" s="54"/>
      <c r="C112" s="56"/>
      <c r="D112" s="56"/>
      <c r="E112" s="56"/>
      <c r="F112" s="56"/>
      <c r="G112" s="56"/>
      <c r="H112" s="244"/>
      <c r="I112" s="56"/>
      <c r="J112" s="56"/>
      <c r="K112" s="56"/>
      <c r="L112" s="56"/>
    </row>
    <row r="113" spans="1:12" ht="12.75">
      <c r="A113" s="54"/>
      <c r="B113" s="54"/>
      <c r="C113" s="56"/>
      <c r="D113" s="56"/>
      <c r="E113" s="56"/>
      <c r="F113" s="56"/>
      <c r="G113" s="56"/>
      <c r="H113" s="244"/>
      <c r="I113" s="56"/>
      <c r="J113" s="56"/>
      <c r="K113" s="56"/>
      <c r="L113" s="56"/>
    </row>
    <row r="114" spans="1:12" ht="12.75">
      <c r="A114" s="54"/>
      <c r="B114" s="54"/>
      <c r="C114" s="56"/>
      <c r="D114" s="56"/>
      <c r="E114" s="56"/>
      <c r="F114" s="56"/>
      <c r="G114" s="56"/>
      <c r="H114" s="244"/>
      <c r="I114" s="56"/>
      <c r="J114" s="56"/>
      <c r="K114" s="56"/>
      <c r="L114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1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20.7109375" style="0" customWidth="1"/>
    <col min="4" max="7" width="14.421875" style="0" customWidth="1"/>
    <col min="8" max="8" width="12.7109375" style="149" customWidth="1"/>
    <col min="9" max="9" width="1.1484375" style="0" customWidth="1"/>
    <col min="10" max="10" width="70.7109375" style="0" customWidth="1"/>
  </cols>
  <sheetData>
    <row r="1" spans="1:12" ht="12.75">
      <c r="A1" s="54"/>
      <c r="B1" s="54"/>
      <c r="C1" s="56"/>
      <c r="D1" s="56"/>
      <c r="E1" s="56"/>
      <c r="F1" s="56"/>
      <c r="G1" s="56"/>
      <c r="H1" s="244"/>
      <c r="I1" s="56"/>
      <c r="J1" s="56"/>
      <c r="K1" s="56"/>
      <c r="L1" s="56"/>
    </row>
    <row r="2" spans="1:12" ht="15.75">
      <c r="A2" s="54"/>
      <c r="B2" s="245"/>
      <c r="C2" s="246" t="s">
        <v>1160</v>
      </c>
      <c r="D2" s="248"/>
      <c r="E2" s="248"/>
      <c r="F2" s="248"/>
      <c r="G2" s="248"/>
      <c r="H2" s="140"/>
      <c r="I2" s="251"/>
      <c r="J2" s="56"/>
      <c r="K2" s="56"/>
      <c r="L2" s="56"/>
    </row>
    <row r="3" spans="1:12" ht="15.75">
      <c r="A3" s="54"/>
      <c r="B3" s="49"/>
      <c r="C3" s="247"/>
      <c r="D3" s="52"/>
      <c r="E3" s="52"/>
      <c r="F3" s="52"/>
      <c r="G3" s="52"/>
      <c r="H3" s="98"/>
      <c r="I3" s="83"/>
      <c r="J3" s="56"/>
      <c r="K3" s="56"/>
      <c r="L3" s="56"/>
    </row>
    <row r="4" spans="1:12" ht="12.75">
      <c r="A4" s="54"/>
      <c r="B4" s="49"/>
      <c r="C4" s="40" t="s">
        <v>1115</v>
      </c>
      <c r="D4" s="310" t="s">
        <v>1161</v>
      </c>
      <c r="E4" s="230"/>
      <c r="F4" s="231"/>
      <c r="G4" s="52"/>
      <c r="H4" s="98"/>
      <c r="I4" s="83"/>
      <c r="J4" s="56"/>
      <c r="K4" s="56"/>
      <c r="L4" s="56"/>
    </row>
    <row r="5" spans="1:12" ht="12.75">
      <c r="A5" s="54"/>
      <c r="B5" s="49"/>
      <c r="C5" s="52"/>
      <c r="D5" s="52"/>
      <c r="E5" s="52"/>
      <c r="F5" s="52"/>
      <c r="G5" s="52"/>
      <c r="H5" s="98"/>
      <c r="I5" s="83"/>
      <c r="J5" s="56"/>
      <c r="K5" s="56"/>
      <c r="L5" s="56"/>
    </row>
    <row r="6" spans="1:12" ht="12.75">
      <c r="A6" s="54"/>
      <c r="B6" s="49"/>
      <c r="C6" s="205" t="s">
        <v>1117</v>
      </c>
      <c r="D6" s="207"/>
      <c r="E6" s="207"/>
      <c r="F6" s="208"/>
      <c r="G6" s="252"/>
      <c r="H6" s="141"/>
      <c r="I6" s="253"/>
      <c r="J6" s="127"/>
      <c r="K6" s="127"/>
      <c r="L6" s="127"/>
    </row>
    <row r="7" spans="1:12" ht="12.75">
      <c r="A7" s="54"/>
      <c r="B7" s="49"/>
      <c r="C7" s="177" t="s">
        <v>900</v>
      </c>
      <c r="D7" s="25">
        <v>12</v>
      </c>
      <c r="E7" s="220"/>
      <c r="F7" s="225"/>
      <c r="G7" s="52"/>
      <c r="H7" s="98"/>
      <c r="I7" s="83"/>
      <c r="J7" s="56"/>
      <c r="K7" s="56"/>
      <c r="L7" s="56"/>
    </row>
    <row r="8" spans="1:12" ht="12.75">
      <c r="A8" s="54"/>
      <c r="B8" s="49"/>
      <c r="C8" s="177" t="s">
        <v>1118</v>
      </c>
      <c r="D8" s="25">
        <v>0</v>
      </c>
      <c r="E8" s="222" t="str">
        <f>CHOOSE((D8+1),"Turret","Bay","Fixed","Parallel","Spinal")</f>
        <v>Turret</v>
      </c>
      <c r="F8" s="226"/>
      <c r="G8" s="52"/>
      <c r="H8" s="98"/>
      <c r="I8" s="83"/>
      <c r="J8" s="56"/>
      <c r="K8" s="56"/>
      <c r="L8" s="56"/>
    </row>
    <row r="9" spans="1:12" ht="12.75">
      <c r="A9" s="54"/>
      <c r="B9" s="49"/>
      <c r="C9" s="177" t="s">
        <v>1119</v>
      </c>
      <c r="D9" s="25">
        <v>2.6</v>
      </c>
      <c r="E9" s="27" t="str">
        <f>CHOOSE((D22+1)," ",IF(D9&gt;3.58,"Size violation"," "),IF(D9&gt;4.51,"Size Violation"," "),IF(D9&gt;7.6,"Size Violation"," "),IF(D9&gt;9.4,"Size Violation"," "))</f>
        <v> </v>
      </c>
      <c r="F9" s="226"/>
      <c r="G9" s="52"/>
      <c r="H9" s="98"/>
      <c r="I9" s="83"/>
      <c r="J9" s="56"/>
      <c r="K9" s="56"/>
      <c r="L9" s="56"/>
    </row>
    <row r="10" spans="1:12" ht="12.75">
      <c r="A10" s="54"/>
      <c r="B10" s="49"/>
      <c r="C10" s="177" t="s">
        <v>1120</v>
      </c>
      <c r="D10" s="30">
        <f>D33/F33</f>
        <v>0.2</v>
      </c>
      <c r="E10" s="27" t="str">
        <f>CHOOSE((D8+1),CHOOSE((D22+1),IF(D10&gt;Tables!F39,"Size Violation"," "),IF(D10&gt;4.18,"Size violation"," "),IF(D10&gt;5.26,"Size Violation"," "),IF(D10&gt;12,"Size Violation"," "),IF(D10&gt;16,"Size Violation"," ")),CHOOSE((D22+1),IF(D10&gt;Tables!F39,"Size Violation"," "),IF(D10&gt;4.18,"Size violation"," "),IF(D10&gt;5.26,"Size Violation"," "),IF(D10&gt;12,"Size Violation"," "),IF(D10&gt;16,"Size Violation"," ")),IF(D10&gt;Tables!F39,"Size Violation"," "),IF(D10&gt;Tables!F39,"Size Violation"," "),IF(D10&gt;Tables!F39,"Size Violation"," "))</f>
        <v> </v>
      </c>
      <c r="F10" s="226"/>
      <c r="G10" s="52"/>
      <c r="H10" s="98"/>
      <c r="I10" s="83"/>
      <c r="J10" s="56"/>
      <c r="K10" s="56"/>
      <c r="L10" s="56"/>
    </row>
    <row r="11" spans="1:12" ht="12.75">
      <c r="A11" s="54"/>
      <c r="B11" s="49"/>
      <c r="C11" s="177" t="s">
        <v>1121</v>
      </c>
      <c r="D11" s="25">
        <v>0</v>
      </c>
      <c r="E11" s="222" t="str">
        <f>IF(D11=1,IF(D7&lt;13,"Error: TL Violation","X-Ray"),"Tunable")</f>
        <v>Tunable</v>
      </c>
      <c r="F11" s="226"/>
      <c r="G11" s="52"/>
      <c r="H11" s="98"/>
      <c r="I11" s="83"/>
      <c r="J11" s="56"/>
      <c r="K11" s="56"/>
      <c r="L11" s="56"/>
    </row>
    <row r="12" spans="1:12" ht="12.75">
      <c r="A12" s="54"/>
      <c r="B12" s="49"/>
      <c r="C12" s="177" t="s">
        <v>1122</v>
      </c>
      <c r="D12" s="25">
        <v>200</v>
      </c>
      <c r="E12" s="27" t="str">
        <f>IF(D12&gt;(D7*50),"Error: TL Violation"," ")</f>
        <v> </v>
      </c>
      <c r="F12" s="226"/>
      <c r="G12" s="52"/>
      <c r="H12" s="98"/>
      <c r="I12" s="83"/>
      <c r="J12" s="56"/>
      <c r="K12" s="56"/>
      <c r="L12" s="56"/>
    </row>
    <row r="13" spans="1:12" ht="12.75">
      <c r="A13" s="54"/>
      <c r="B13" s="49"/>
      <c r="C13" s="276" t="s">
        <v>1123</v>
      </c>
      <c r="D13" s="281">
        <f>Tables!E266</f>
        <v>169000.00000000003</v>
      </c>
      <c r="E13" s="27"/>
      <c r="F13" s="226"/>
      <c r="G13" s="52"/>
      <c r="H13" s="98"/>
      <c r="I13" s="83"/>
      <c r="J13" s="56"/>
      <c r="K13" s="56"/>
      <c r="L13" s="56"/>
    </row>
    <row r="14" spans="1:12" ht="12.75">
      <c r="A14" s="54"/>
      <c r="B14" s="49"/>
      <c r="C14" s="276" t="s">
        <v>1124</v>
      </c>
      <c r="D14" s="25">
        <v>1</v>
      </c>
      <c r="E14" s="27" t="str">
        <f>CHOOSE((D14+1),"Short (30,000km)","Normal (150,000km)","Extreme (300,000km)")</f>
        <v>Normal (150,000km)</v>
      </c>
      <c r="F14" s="226"/>
      <c r="G14" s="52"/>
      <c r="H14" s="98"/>
      <c r="I14" s="83"/>
      <c r="J14" s="56"/>
      <c r="K14" s="56"/>
      <c r="L14" s="56"/>
    </row>
    <row r="15" spans="1:12" ht="12.75">
      <c r="A15" s="54"/>
      <c r="B15" s="49"/>
      <c r="C15" s="177" t="s">
        <v>1125</v>
      </c>
      <c r="D15" s="25">
        <v>1</v>
      </c>
      <c r="E15" s="222" t="str">
        <f>IF(D15=1,IF(D7&lt;9,"Error: TL Violation","Grav focused"),"Non-grav focused")</f>
        <v>Grav focused</v>
      </c>
      <c r="F15" s="228"/>
      <c r="G15" s="52"/>
      <c r="H15" s="98"/>
      <c r="I15" s="83"/>
      <c r="J15" s="56"/>
      <c r="K15" s="56"/>
      <c r="L15" s="56"/>
    </row>
    <row r="16" spans="1:12" ht="12.75">
      <c r="A16" s="54"/>
      <c r="B16" s="49"/>
      <c r="C16" s="177" t="s">
        <v>1126</v>
      </c>
      <c r="D16" s="25">
        <v>1</v>
      </c>
      <c r="E16" s="222" t="str">
        <f>IF(D16=0,"No","Yes")</f>
        <v>Yes</v>
      </c>
      <c r="F16" s="226"/>
      <c r="G16" s="52"/>
      <c r="H16" s="98"/>
      <c r="I16" s="83"/>
      <c r="J16" s="56"/>
      <c r="K16" s="56"/>
      <c r="L16" s="56"/>
    </row>
    <row r="17" spans="1:12" ht="12.75">
      <c r="A17" s="54"/>
      <c r="B17" s="49"/>
      <c r="C17" s="177" t="s">
        <v>1127</v>
      </c>
      <c r="D17" s="25">
        <v>1</v>
      </c>
      <c r="E17" s="222" t="str">
        <f>IF(D17=0,"No","Yes")</f>
        <v>Yes</v>
      </c>
      <c r="F17" s="226"/>
      <c r="G17" s="52"/>
      <c r="H17" s="98"/>
      <c r="I17" s="83"/>
      <c r="J17" s="56"/>
      <c r="K17" s="56"/>
      <c r="L17" s="56"/>
    </row>
    <row r="18" spans="1:12" ht="12.75">
      <c r="A18" s="54"/>
      <c r="B18" s="49"/>
      <c r="C18" s="177" t="s">
        <v>1128</v>
      </c>
      <c r="D18" s="25">
        <v>1</v>
      </c>
      <c r="E18" s="223"/>
      <c r="F18" s="227"/>
      <c r="G18" s="52"/>
      <c r="H18" s="98"/>
      <c r="I18" s="83"/>
      <c r="J18" s="56"/>
      <c r="K18" s="56"/>
      <c r="L18" s="56"/>
    </row>
    <row r="19" spans="1:12" ht="12.75">
      <c r="A19" s="54"/>
      <c r="B19" s="49"/>
      <c r="C19" s="177" t="s">
        <v>1129</v>
      </c>
      <c r="D19" s="25">
        <v>100</v>
      </c>
      <c r="E19" s="222">
        <f>IF(D19&gt;800,"Error: PD ROF limited to 800!","")</f>
      </c>
      <c r="F19" s="226"/>
      <c r="G19" s="52"/>
      <c r="H19" s="98"/>
      <c r="I19" s="83"/>
      <c r="J19" s="128"/>
      <c r="K19" s="56"/>
      <c r="L19" s="56"/>
    </row>
    <row r="20" spans="1:12" ht="12.75">
      <c r="A20" s="456"/>
      <c r="B20" s="457"/>
      <c r="C20" s="477" t="s">
        <v>1130</v>
      </c>
      <c r="D20" s="478">
        <v>0</v>
      </c>
      <c r="E20" s="222">
        <f>IF(D20&gt;800,"Error: PD ROF limited to 800!","")</f>
      </c>
      <c r="F20" s="226"/>
      <c r="G20" s="462"/>
      <c r="H20" s="463"/>
      <c r="I20" s="464"/>
      <c r="J20" s="459"/>
      <c r="K20" s="465"/>
      <c r="L20" s="465"/>
    </row>
    <row r="21" spans="1:12" ht="12.75">
      <c r="A21" s="54"/>
      <c r="B21" s="49"/>
      <c r="C21" s="298" t="s">
        <v>1131</v>
      </c>
      <c r="D21" s="295">
        <v>0</v>
      </c>
      <c r="E21" s="296"/>
      <c r="F21" s="297"/>
      <c r="G21" s="52"/>
      <c r="H21" s="98"/>
      <c r="I21" s="83"/>
      <c r="J21" s="128"/>
      <c r="K21" s="56"/>
      <c r="L21" s="56"/>
    </row>
    <row r="22" spans="1:12" ht="12.75">
      <c r="A22" s="54"/>
      <c r="B22" s="49"/>
      <c r="C22" s="179" t="s">
        <v>1132</v>
      </c>
      <c r="D22" s="31">
        <v>0</v>
      </c>
      <c r="E22" s="224" t="str">
        <f>CHOOSE((D22+1),"None","42m turret","84m turret","50std bay","100std bay")</f>
        <v>None</v>
      </c>
      <c r="F22" s="229"/>
      <c r="G22" s="52"/>
      <c r="H22" s="98"/>
      <c r="I22" s="83"/>
      <c r="J22" s="56"/>
      <c r="K22" s="56"/>
      <c r="L22" s="56"/>
    </row>
    <row r="23" spans="1:12" ht="12.75">
      <c r="A23" s="54"/>
      <c r="B23" s="49"/>
      <c r="C23" s="52"/>
      <c r="D23" s="52"/>
      <c r="E23" s="52"/>
      <c r="F23" s="52"/>
      <c r="G23" s="52"/>
      <c r="H23" s="98"/>
      <c r="I23" s="83"/>
      <c r="J23" s="56"/>
      <c r="K23" s="56"/>
      <c r="L23" s="56"/>
    </row>
    <row r="24" spans="1:12" ht="12.75">
      <c r="A24" s="54"/>
      <c r="B24" s="49"/>
      <c r="C24" s="205" t="s">
        <v>1133</v>
      </c>
      <c r="D24" s="495" t="s">
        <v>1134</v>
      </c>
      <c r="E24" s="207" t="s">
        <v>1135</v>
      </c>
      <c r="F24" s="208"/>
      <c r="G24" s="52"/>
      <c r="H24" s="98"/>
      <c r="I24" s="83"/>
      <c r="J24" s="56"/>
      <c r="K24" s="56"/>
      <c r="L24" s="56"/>
    </row>
    <row r="25" spans="1:12" ht="12.75">
      <c r="A25" s="456"/>
      <c r="B25" s="457"/>
      <c r="C25" s="254" t="s">
        <v>1137</v>
      </c>
      <c r="D25" s="467"/>
      <c r="E25" s="482">
        <f>IF($D$14=0,MIN($D$12,ROUND($D$12/((30000/Tables!$E$266)^2),3)),MIN($D$12,ROUND($D$12/(((30000*5)/Tables!$E$266)^2),3)))</f>
        <v>200</v>
      </c>
      <c r="F25" s="226"/>
      <c r="G25" s="462"/>
      <c r="H25" s="463"/>
      <c r="I25" s="464"/>
      <c r="J25" s="465"/>
      <c r="K25" s="465"/>
      <c r="L25" s="465"/>
    </row>
    <row r="26" spans="1:12" ht="12.75">
      <c r="A26" s="54"/>
      <c r="B26" s="49"/>
      <c r="C26" s="254" t="s">
        <v>1137</v>
      </c>
      <c r="D26" s="232">
        <f>MIN(D12,ROUND($D$12/((CHOOSE((D14+1),30000,300000,300000)/Tables!$E$266)^2),3))</f>
        <v>63.469</v>
      </c>
      <c r="E26" s="482">
        <f>IF($D$14=0,0,MIN($D$12,ROUND($D$12/(((30000*10)/Tables!$E$266)^2),3)))</f>
        <v>63.469</v>
      </c>
      <c r="F26" s="226"/>
      <c r="G26" s="52"/>
      <c r="H26" s="98"/>
      <c r="I26" s="83"/>
      <c r="J26" s="56"/>
      <c r="K26" s="56"/>
      <c r="L26" s="56"/>
    </row>
    <row r="27" spans="1:12" ht="12.75">
      <c r="A27" s="54"/>
      <c r="B27" s="49"/>
      <c r="C27" s="254" t="s">
        <v>1138</v>
      </c>
      <c r="D27" s="232">
        <f>MIN(D12,ROUND($D$12/(((CHOOSE((D14+1),30000,300000,300000)*2)/Tables!$E$266)^2),3))</f>
        <v>15.867</v>
      </c>
      <c r="E27" s="482">
        <f>IF($D$14=0,0,MIN($D$12,ROUND($D$12/(((30000*20)/Tables!$E$266)^2),3)))</f>
        <v>15.867</v>
      </c>
      <c r="F27" s="226"/>
      <c r="G27" s="52"/>
      <c r="H27" s="98"/>
      <c r="I27" s="83"/>
      <c r="J27" s="56"/>
      <c r="K27" s="56"/>
      <c r="L27" s="56"/>
    </row>
    <row r="28" spans="1:12" ht="12.75">
      <c r="A28" s="54"/>
      <c r="B28" s="49"/>
      <c r="C28" s="254" t="s">
        <v>1139</v>
      </c>
      <c r="D28" s="232">
        <f>MIN(D12,ROUND($D$12/(((CHOOSE((D14+1),30000,300000,300000)*4)/Tables!$E$266)^2),3))</f>
        <v>3.967</v>
      </c>
      <c r="E28" s="482">
        <f>IF($D$14=0,0,MIN($D$12,ROUND($D$12/(((30000*40)/Tables!$E$266)^2),3)))</f>
        <v>3.967</v>
      </c>
      <c r="F28" s="226"/>
      <c r="G28" s="52"/>
      <c r="H28" s="98"/>
      <c r="I28" s="83"/>
      <c r="J28" s="56"/>
      <c r="K28" s="56"/>
      <c r="L28" s="56"/>
    </row>
    <row r="29" spans="1:12" ht="12.75">
      <c r="A29" s="54"/>
      <c r="B29" s="49"/>
      <c r="C29" s="254" t="s">
        <v>1140</v>
      </c>
      <c r="D29" s="232">
        <f>MIN(D12,ROUND($D$12/(((CHOOSE((D14+1),30000,300000,300000)*8)/Tables!$E$266)^2),3))</f>
        <v>0.992</v>
      </c>
      <c r="E29" s="482">
        <f>IF($D$14=2,MIN($D$12,ROUND($D$12/(((30000*80)/Tables!$E$266)^2),3)),0)</f>
        <v>0</v>
      </c>
      <c r="F29" s="226"/>
      <c r="G29" s="52"/>
      <c r="H29" s="98"/>
      <c r="I29" s="83"/>
      <c r="J29" s="56"/>
      <c r="K29" s="56"/>
      <c r="L29" s="56"/>
    </row>
    <row r="30" spans="1:12" ht="12.75">
      <c r="A30" s="54"/>
      <c r="B30" s="49"/>
      <c r="C30" s="264" t="s">
        <v>1134</v>
      </c>
      <c r="D30" s="211" t="str">
        <f>CONCATENATE("(",IF(D17=0,"+0",CHOOSE((D7+1),"+0","+0","+0","+0","+0","+0","+0","+0","+0","+0","+3","+3","+4","+4","+5","+6","+6","+7","+7","+8","+8","+9")),") 1/",ROUND(Tables!F271,0),"-",ROUND(Tables!F272,0),"-",ROUND(Tables!F273,0),"-",ROUND(Tables!F274,0))</f>
        <v>(+4) 1/2-0-0-0</v>
      </c>
      <c r="E30" s="224" t="str">
        <f>CONCATENATE("(",IF(Tables!$E$280&gt;=0,"+",""),Tables!$E$280,IF(D17=0,"",CHOOSE((D7+1),"","","","","","","","","","",",+3",",+3",",+4",",+4",",+5",",+6",",+6",",+7",",+7",",+8",",+8",",+9")),") ",IF(Tables!$F$275=0,"",CONCATENATE(Tables!$H$275,":",Tables!$F$275))," ",IF(Tables!$F$276=0,"",CONCATENATE(Tables!$H$276,":",Tables!$F$276))," ",IF(Tables!$F$277=0,"",CONCATENATE(Tables!$H$277,":",Tables!$F$277))," ",IF(Tables!$F$278=0,"",CONCATENATE(Tables!$H$278,":",Tables!$F$278))," ",IF(Tables!$F$279=0,"",CONCATENATE(Tables!$H$279,":",Tables!$F$279))," PDR:",IF(Tables!$E$281&gt;=0,"+",""),Tables!$E$281)</f>
        <v>(+1,+4) 14:8 12:6 11:5 9:3  PDR:+1</v>
      </c>
      <c r="F30" s="229"/>
      <c r="G30" s="52"/>
      <c r="H30" s="98"/>
      <c r="I30" s="83"/>
      <c r="J30" s="56"/>
      <c r="K30" s="56"/>
      <c r="L30" s="56"/>
    </row>
    <row r="31" spans="1:12" ht="12.75">
      <c r="A31" s="54"/>
      <c r="B31" s="49"/>
      <c r="C31" s="52"/>
      <c r="D31" s="52"/>
      <c r="E31" s="52"/>
      <c r="F31" s="52"/>
      <c r="G31" s="52"/>
      <c r="H31" s="98"/>
      <c r="I31" s="83"/>
      <c r="J31" s="56"/>
      <c r="K31" s="56"/>
      <c r="L31" s="56"/>
    </row>
    <row r="32" spans="1:12" ht="12.75">
      <c r="A32" s="54"/>
      <c r="B32" s="49"/>
      <c r="C32" s="205" t="s">
        <v>1141</v>
      </c>
      <c r="D32" s="207" t="s">
        <v>910</v>
      </c>
      <c r="E32" s="207" t="s">
        <v>911</v>
      </c>
      <c r="F32" s="207" t="s">
        <v>912</v>
      </c>
      <c r="G32" s="207" t="s">
        <v>913</v>
      </c>
      <c r="H32" s="142" t="s">
        <v>1142</v>
      </c>
      <c r="I32" s="83"/>
      <c r="J32" s="56"/>
      <c r="K32" s="56"/>
      <c r="L32" s="56"/>
    </row>
    <row r="33" spans="1:12" ht="12.75">
      <c r="A33" s="54"/>
      <c r="B33" s="49"/>
      <c r="C33" s="177" t="s">
        <v>1143</v>
      </c>
      <c r="D33" s="18">
        <f>IF(AND(IF(D7&lt;13,TRUE(),FALSE()),IF(D11=1,TRUE(),FALSE())),#VALUE!,IF(AND(IF(D7&lt;9,TRUE(),FALSE()),IF(D15=1,TRUE(),FALSE())),#VALUE!,IF(D12&gt;D7*50,#VALUE!,D12*F33*CHOOSE((D7+1),0,0,0,0,0,0,1,1,0.1,0.01,0.01,0.001,0.001,0.001,0.001,0.0005,0.0005,0.0005,0.0005,0.0001,0.0001)*Tables!E267)))</f>
        <v>1.0618583169133502</v>
      </c>
      <c r="E33" s="18">
        <f>D33</f>
        <v>1.0618583169133502</v>
      </c>
      <c r="F33" s="18">
        <f>(PI()*D9^2)/4*D18</f>
        <v>5.3092915845667505</v>
      </c>
      <c r="G33" s="18">
        <f>D19*Tables!E264/1800*D18</f>
        <v>55.55555555555556</v>
      </c>
      <c r="H33" s="116">
        <f>CHOOSE((D8+1),0.2,0.2,0.1,0.1,0.1)*D33</f>
        <v>0.21237166338267005</v>
      </c>
      <c r="I33" s="83"/>
      <c r="J33" s="56"/>
      <c r="K33" s="56"/>
      <c r="L33" s="56"/>
    </row>
    <row r="34" spans="1:12" ht="12.75">
      <c r="A34" s="54"/>
      <c r="B34" s="49"/>
      <c r="C34" s="177" t="s">
        <v>961</v>
      </c>
      <c r="D34" s="19">
        <f>VLOOKUP(CHOOSE((D14+1),5,6,6),Tables!$D$119:$Z$125,(D7+1+1))*D18</f>
        <v>16.67</v>
      </c>
      <c r="E34" s="19">
        <f>D34</f>
        <v>16.67</v>
      </c>
      <c r="F34" s="148"/>
      <c r="G34" s="148"/>
      <c r="H34" s="120">
        <f>D34*0.1</f>
        <v>1.6670000000000003</v>
      </c>
      <c r="I34" s="83"/>
      <c r="J34" s="56"/>
      <c r="K34" s="56"/>
      <c r="L34" s="56"/>
    </row>
    <row r="35" spans="1:12" ht="12.75">
      <c r="A35" s="54"/>
      <c r="B35" s="49"/>
      <c r="C35" s="177" t="s">
        <v>954</v>
      </c>
      <c r="D35" s="18">
        <f>Tables!E264*CHOOSE((((D7+1)-1)+1),0,0,0,0,0,0,0,0.25,0.125,0.1,0.08,0.06,0.05,0.045,0.04,0.035,0.03,0.025,0.02,0.015,0.01,0.005)*D18</f>
        <v>50</v>
      </c>
      <c r="E35" s="18">
        <f>D35*2</f>
        <v>100</v>
      </c>
      <c r="F35" s="148"/>
      <c r="G35" s="148"/>
      <c r="H35" s="116">
        <f>D35*0.01</f>
        <v>0.5</v>
      </c>
      <c r="I35" s="83"/>
      <c r="J35" s="56"/>
      <c r="K35" s="56"/>
      <c r="L35" s="56"/>
    </row>
    <row r="36" spans="1:12" ht="12.75">
      <c r="A36" s="456"/>
      <c r="B36" s="457"/>
      <c r="C36" s="484" t="s">
        <v>1144</v>
      </c>
      <c r="D36" s="460">
        <f>Tables!E268/CHOOSE(($D$7+1),0,0,0,0.04,0.06,0.08,0.1,0.2,0.4,0.8,1,1.5,2,2.5,3,3.5,4,6,8,10,12)</f>
        <v>0</v>
      </c>
      <c r="E36" s="460">
        <f>D36*CHOOSE((Las1!$D$7+1),0,0,0,0,2,2,2,2,2,2,2,2,2,2.5,2.5,2.5,2.5,2.5,3,4,5,6)</f>
        <v>0</v>
      </c>
      <c r="F36" s="148"/>
      <c r="G36" s="148"/>
      <c r="H36" s="461">
        <f>D36*CHOOSE((Las1!$D$7+1),0,0,0,0,0.001,0.001,0.0008,0.0008,0.001,0.002,0.003,0.004,0.005,0.008,0.01,0.015,0.02,0.025,0.03,0.04,0.05,0.1)*2</f>
        <v>0</v>
      </c>
      <c r="I36" s="464"/>
      <c r="J36" s="465"/>
      <c r="K36" s="465"/>
      <c r="L36" s="465"/>
    </row>
    <row r="37" spans="1:12" ht="12.75">
      <c r="A37" s="54"/>
      <c r="B37" s="49"/>
      <c r="C37" s="177" t="s">
        <v>1145</v>
      </c>
      <c r="D37" s="18">
        <f>IF(D16=0,0,7)</f>
        <v>7</v>
      </c>
      <c r="E37" s="18">
        <f>IF(D16=0,0,0.2)</f>
        <v>0.2</v>
      </c>
      <c r="F37" s="148"/>
      <c r="G37" s="148"/>
      <c r="H37" s="69">
        <f>CHOOSE((D7+1),0,0,0,0,0.0001,0.0002,0.0003,0.0005,0.00075,0.001,0.0015,0.0015,0.0015,0.002,0.002,0.002,0.002,0.0025,0.0025,0.0025,0.0025,0.003)*IF(D16=0,0,1)</f>
        <v>0.0015</v>
      </c>
      <c r="I37" s="83"/>
      <c r="J37" s="56"/>
      <c r="K37" s="56"/>
      <c r="L37" s="56"/>
    </row>
    <row r="38" spans="1:12" ht="12.75">
      <c r="A38" s="54"/>
      <c r="B38" s="49"/>
      <c r="C38" s="177" t="s">
        <v>1146</v>
      </c>
      <c r="D38" s="19">
        <f>IF(D17=0,0,VLOOKUP(CHOOSE((D14+1),5,6,6),Tables!$D$128:$Z$134,((D7+1)+1)))</f>
        <v>33.33</v>
      </c>
      <c r="E38" s="19">
        <f>D38</f>
        <v>33.33</v>
      </c>
      <c r="F38" s="106"/>
      <c r="G38" s="19">
        <f>D38*0.01</f>
        <v>0.3333</v>
      </c>
      <c r="H38" s="120">
        <f>D38</f>
        <v>33.33</v>
      </c>
      <c r="I38" s="83"/>
      <c r="J38" s="56"/>
      <c r="K38" s="56"/>
      <c r="L38" s="56"/>
    </row>
    <row r="39" spans="1:12" ht="12.75">
      <c r="A39" s="54"/>
      <c r="B39" s="49"/>
      <c r="C39" s="177" t="s">
        <v>570</v>
      </c>
      <c r="D39" s="19">
        <f>Tables!E270*Tables!F270</f>
        <v>0</v>
      </c>
      <c r="E39" s="19">
        <f>D39*Tables!F10</f>
        <v>0</v>
      </c>
      <c r="F39" s="106"/>
      <c r="G39" s="19">
        <f>D39*Tables!F12</f>
        <v>0</v>
      </c>
      <c r="H39" s="120">
        <f>Tables!F11*D39</f>
        <v>0</v>
      </c>
      <c r="I39" s="83"/>
      <c r="J39" s="56"/>
      <c r="K39" s="56"/>
      <c r="L39" s="56"/>
    </row>
    <row r="40" spans="1:12" ht="12.75">
      <c r="A40" s="54"/>
      <c r="B40" s="49"/>
      <c r="C40" s="177" t="s">
        <v>1132</v>
      </c>
      <c r="D40" s="18">
        <f>IF(D22=0,0,CHOOSE((D22+1),0,42,84,700,1400)-SUM(D33:D39))</f>
        <v>0</v>
      </c>
      <c r="E40" s="237"/>
      <c r="F40" s="237"/>
      <c r="G40" s="148"/>
      <c r="H40" s="75"/>
      <c r="I40" s="83"/>
      <c r="J40" s="56"/>
      <c r="K40" s="56"/>
      <c r="L40" s="56"/>
    </row>
    <row r="41" spans="1:12" ht="12.75">
      <c r="A41" s="54"/>
      <c r="B41" s="49"/>
      <c r="C41" s="13" t="s">
        <v>341</v>
      </c>
      <c r="D41" s="105">
        <f>IF(D40&lt;0,#VALUE!,SUM(D33:D40))</f>
        <v>108.06185831691336</v>
      </c>
      <c r="E41" s="105">
        <f>SUM(E33:E40)</f>
        <v>151.26185831691336</v>
      </c>
      <c r="F41" s="105">
        <f>SUM(F33:F40)</f>
        <v>5.3092915845667505</v>
      </c>
      <c r="G41" s="105">
        <f>SUM(G33:G40)</f>
        <v>55.88885555555556</v>
      </c>
      <c r="H41" s="139">
        <f>SUM(H33:H40)</f>
        <v>35.71087166338267</v>
      </c>
      <c r="I41" s="83"/>
      <c r="J41" s="56"/>
      <c r="K41" s="56"/>
      <c r="L41" s="56"/>
    </row>
    <row r="42" spans="1:12" ht="12.75">
      <c r="A42" s="54"/>
      <c r="B42" s="49"/>
      <c r="C42" s="52"/>
      <c r="D42" s="255"/>
      <c r="E42" s="255"/>
      <c r="F42" s="255"/>
      <c r="G42" s="255"/>
      <c r="H42" s="98"/>
      <c r="I42" s="83"/>
      <c r="J42" s="56"/>
      <c r="K42" s="56"/>
      <c r="L42" s="56"/>
    </row>
    <row r="43" spans="1:12" ht="12.75">
      <c r="A43" s="54"/>
      <c r="B43" s="49"/>
      <c r="C43" s="205" t="s">
        <v>1147</v>
      </c>
      <c r="D43" s="102"/>
      <c r="E43" s="102"/>
      <c r="F43" s="103"/>
      <c r="G43" s="255"/>
      <c r="H43" s="98"/>
      <c r="I43" s="83"/>
      <c r="J43" s="56"/>
      <c r="K43" s="56"/>
      <c r="L43" s="56"/>
    </row>
    <row r="44" spans="1:12" ht="12.75">
      <c r="A44" s="54"/>
      <c r="B44" s="49"/>
      <c r="C44" s="254" t="s">
        <v>1148</v>
      </c>
      <c r="D44" s="37">
        <v>1</v>
      </c>
      <c r="E44" s="554"/>
      <c r="F44" s="555"/>
      <c r="G44" s="255"/>
      <c r="H44" s="98"/>
      <c r="I44" s="83"/>
      <c r="J44" s="56"/>
      <c r="K44" s="56"/>
      <c r="L44" s="56"/>
    </row>
    <row r="45" spans="1:12" ht="12.75">
      <c r="A45" s="54"/>
      <c r="B45" s="49"/>
      <c r="C45" s="177" t="s">
        <v>1149</v>
      </c>
      <c r="D45" s="30">
        <f>IF(D44&gt;1,1,0)</f>
        <v>0</v>
      </c>
      <c r="E45" s="554"/>
      <c r="F45" s="555"/>
      <c r="G45" s="255"/>
      <c r="H45" s="98"/>
      <c r="I45" s="83"/>
      <c r="J45" s="56"/>
      <c r="K45" s="56"/>
      <c r="L45" s="56"/>
    </row>
    <row r="46" spans="1:12" ht="12.75">
      <c r="A46" s="54"/>
      <c r="B46" s="49"/>
      <c r="C46" s="179" t="s">
        <v>1127</v>
      </c>
      <c r="D46" s="147">
        <f>IF(D44&gt;1,1,0)</f>
        <v>0</v>
      </c>
      <c r="E46" s="552"/>
      <c r="F46" s="553"/>
      <c r="G46" s="255"/>
      <c r="H46" s="98"/>
      <c r="I46" s="83"/>
      <c r="J46" s="56"/>
      <c r="K46" s="56"/>
      <c r="L46" s="56"/>
    </row>
    <row r="47" spans="1:12" ht="12.75">
      <c r="A47" s="54"/>
      <c r="B47" s="49"/>
      <c r="C47" s="52"/>
      <c r="D47" s="255"/>
      <c r="E47" s="255"/>
      <c r="F47" s="255"/>
      <c r="G47" s="255"/>
      <c r="H47" s="98"/>
      <c r="I47" s="83"/>
      <c r="J47" s="56"/>
      <c r="K47" s="56"/>
      <c r="L47" s="56"/>
    </row>
    <row r="48" spans="1:12" ht="12.75">
      <c r="A48" s="54"/>
      <c r="B48" s="49"/>
      <c r="C48" s="205" t="s">
        <v>1150</v>
      </c>
      <c r="D48" s="210"/>
      <c r="E48" s="102"/>
      <c r="F48" s="212"/>
      <c r="G48" s="52"/>
      <c r="H48" s="98"/>
      <c r="I48" s="83"/>
      <c r="J48" s="56"/>
      <c r="K48" s="56"/>
      <c r="L48" s="56"/>
    </row>
    <row r="49" spans="1:12" ht="12.75">
      <c r="A49" s="456"/>
      <c r="B49" s="457"/>
      <c r="C49" s="484" t="s">
        <v>1134</v>
      </c>
      <c r="D49" s="485" t="str">
        <f>CONCATENATE("(",IF(D46+D17=0,"+0",CHOOSE((D7+1),"+0","+0","+0","+0","+0","+0","+0","+0","+0","+0","+3","+3","+4","+4","+5","+6","+6","+7","+7","+8","+8","+9")),") 1/",ROUND(Tables!G271,0),"-",ROUND(Tables!G272,0),"-",ROUND(Tables!G273,0),"-",ROUND(Tables!G274,0)," [",ROUND(D18*D44,0),",",ROUND(D19,0),"/",ROUND(Tables!E271,0),"-",ROUND(Tables!E272,0),"-",ROUND(Tables!E273,0),"-",ROUND(Tables!E274,0),"]"," ",CHOOSE((D14+1),"(SR","(LR","(LR"),IF(D21=0,"",CONCATENATE(" /Ar:",ROUND(VLOOKUP(D21/1.43,Tables!A2:B61,2)*10,0)," [",ROUND(D21,0),"]")),")")</f>
        <v>(+4) 1/2-0-0-0 [1,100/20-10-5-2] (LR)</v>
      </c>
      <c r="E49" s="493"/>
      <c r="F49" s="492"/>
      <c r="G49" s="462"/>
      <c r="H49" s="463"/>
      <c r="I49" s="464"/>
      <c r="J49" s="465"/>
      <c r="K49" s="465"/>
      <c r="L49" s="465"/>
    </row>
    <row r="50" spans="1:12" ht="12.75">
      <c r="A50" s="54"/>
      <c r="B50" s="49"/>
      <c r="C50" s="264" t="s">
        <v>1135</v>
      </c>
      <c r="D50" s="224" t="str">
        <f>CONCATENATE("(",IF(Tables!$E$280&gt;=0,"+",""),Tables!$E$280,IF(D17+D46=0,"",CHOOSE((D7+1),"","","","","","","","","","",",+3",",+3",",+4",",+4",",+5",",+6",",+6",",+7",",+7",",+8",",+8",",+9")),") ",IF(Tables!$F$275=0,"",CONCATENATE(Tables!$H$275,":",Tables!$G$275))," ",IF(Tables!$F$276=0,"",CONCATENATE(Tables!$H$276,":",Tables!$G$276))," ",IF(Tables!$F$277=0,"",CONCATENATE(Tables!$H$277,":",Tables!$G$277))," ",IF(Tables!$F$278=0,"",CONCATENATE(Tables!$H$278,":",Tables!$G$278))," ",IF(Tables!$F$279=0,"",CONCATENATE(Tables!$H$279,":",Tables!$G$279))," PDR:",IF(Tables!$E$281&gt;=0,"+",""),Tables!$E$282)</f>
        <v>(+1,+4) 14:8 12:6 11:5 9:3  PDR:+1</v>
      </c>
      <c r="E50" s="59"/>
      <c r="F50" s="214"/>
      <c r="G50" s="52"/>
      <c r="H50" s="98"/>
      <c r="I50" s="83"/>
      <c r="J50" s="56"/>
      <c r="K50" s="56"/>
      <c r="L50" s="56"/>
    </row>
    <row r="51" spans="1:12" ht="12.75">
      <c r="A51" s="54"/>
      <c r="B51" s="49"/>
      <c r="C51" s="52"/>
      <c r="D51" s="52"/>
      <c r="E51" s="52"/>
      <c r="F51" s="52"/>
      <c r="G51" s="52"/>
      <c r="H51" s="98"/>
      <c r="I51" s="83"/>
      <c r="J51" s="56"/>
      <c r="K51" s="56"/>
      <c r="L51" s="56"/>
    </row>
    <row r="52" spans="1:12" ht="12.75">
      <c r="A52" s="54"/>
      <c r="B52" s="49"/>
      <c r="C52" s="205" t="s">
        <v>1151</v>
      </c>
      <c r="D52" s="207" t="s">
        <v>910</v>
      </c>
      <c r="E52" s="207" t="s">
        <v>911</v>
      </c>
      <c r="F52" s="207" t="s">
        <v>912</v>
      </c>
      <c r="G52" s="207" t="s">
        <v>913</v>
      </c>
      <c r="H52" s="142" t="s">
        <v>1142</v>
      </c>
      <c r="I52" s="83"/>
      <c r="J52" s="56"/>
      <c r="K52" s="56"/>
      <c r="L52" s="56"/>
    </row>
    <row r="53" spans="1:12" ht="12.75">
      <c r="A53" s="54"/>
      <c r="B53" s="49"/>
      <c r="C53" s="177" t="s">
        <v>1146</v>
      </c>
      <c r="D53" s="19">
        <f>IF(D46=0,0,VLOOKUP(CHOOSE((D14+1),5,6,6),Tables!$D$128:$Z$134,(D7+1+1)))</f>
        <v>0</v>
      </c>
      <c r="E53" s="19">
        <f>D53</f>
        <v>0</v>
      </c>
      <c r="F53" s="106"/>
      <c r="G53" s="19">
        <f>D53*0.01</f>
        <v>0</v>
      </c>
      <c r="H53" s="120">
        <f>D53</f>
        <v>0</v>
      </c>
      <c r="I53" s="83"/>
      <c r="J53" s="56"/>
      <c r="K53" s="56"/>
      <c r="L53" s="56"/>
    </row>
    <row r="54" spans="1:12" ht="12.75">
      <c r="A54" s="54"/>
      <c r="B54" s="49"/>
      <c r="C54" s="177" t="s">
        <v>1152</v>
      </c>
      <c r="D54" s="19">
        <f>IF(D45=0,0,IF(Design!E230&gt;0,14,7))</f>
        <v>0</v>
      </c>
      <c r="E54" s="19">
        <f>IF(D45&gt;0,0.2,0)</f>
        <v>0</v>
      </c>
      <c r="F54" s="106"/>
      <c r="G54" s="106"/>
      <c r="H54" s="69">
        <f>CHOOSE((D7+1),0,0,0,0,0.0001,0.0002,0.0003,0.0005,0.00075,0.001,0.0015,0.0015,0.0015,0.002,0.002,0.002,0.002,0.0025,0.0025,0.0025,0.0025,0.003)*IF(D45=0,0,1)</f>
        <v>0</v>
      </c>
      <c r="I54" s="83"/>
      <c r="J54" s="56"/>
      <c r="K54" s="56"/>
      <c r="L54" s="56"/>
    </row>
    <row r="55" spans="1:12" ht="12.75">
      <c r="A55" s="54"/>
      <c r="B55" s="49"/>
      <c r="C55" s="13" t="s">
        <v>341</v>
      </c>
      <c r="D55" s="105">
        <f>SUM(D53:D54)</f>
        <v>0</v>
      </c>
      <c r="E55" s="105">
        <f>SUM(E53:E54)</f>
        <v>0</v>
      </c>
      <c r="F55" s="145"/>
      <c r="G55" s="105">
        <f>G53</f>
        <v>0</v>
      </c>
      <c r="H55" s="139">
        <f>SUM(H53:H54)</f>
        <v>0</v>
      </c>
      <c r="I55" s="83"/>
      <c r="J55" s="56"/>
      <c r="K55" s="56"/>
      <c r="L55" s="56"/>
    </row>
    <row r="56" spans="1:12" ht="12.75">
      <c r="A56" s="54"/>
      <c r="B56" s="49"/>
      <c r="C56" s="52"/>
      <c r="D56" s="255"/>
      <c r="E56" s="255"/>
      <c r="F56" s="255"/>
      <c r="G56" s="255"/>
      <c r="H56" s="98"/>
      <c r="I56" s="83"/>
      <c r="J56" s="56"/>
      <c r="K56" s="56"/>
      <c r="L56" s="56"/>
    </row>
    <row r="57" spans="1:12" ht="12.75">
      <c r="A57" s="54"/>
      <c r="B57" s="49"/>
      <c r="C57" s="205" t="s">
        <v>1153</v>
      </c>
      <c r="D57" s="97"/>
      <c r="E57" s="255"/>
      <c r="F57" s="255"/>
      <c r="G57" s="255"/>
      <c r="H57" s="98"/>
      <c r="I57" s="83"/>
      <c r="J57" s="56"/>
      <c r="K57" s="56"/>
      <c r="L57" s="56"/>
    </row>
    <row r="58" spans="1:12" ht="12.75">
      <c r="A58" s="54"/>
      <c r="B58" s="49"/>
      <c r="C58" s="260" t="s">
        <v>1154</v>
      </c>
      <c r="D58" s="144">
        <f>D55+D41*D44</f>
        <v>108.06185831691336</v>
      </c>
      <c r="E58" s="255"/>
      <c r="F58" s="255"/>
      <c r="G58" s="255"/>
      <c r="H58" s="98"/>
      <c r="I58" s="83"/>
      <c r="J58" s="56"/>
      <c r="K58" s="56"/>
      <c r="L58" s="56"/>
    </row>
    <row r="59" spans="1:12" ht="12.75">
      <c r="A59" s="54"/>
      <c r="B59" s="49"/>
      <c r="C59" s="260" t="s">
        <v>1155</v>
      </c>
      <c r="D59" s="144">
        <f>E55+(E41*D44)</f>
        <v>151.26185831691336</v>
      </c>
      <c r="E59" s="255"/>
      <c r="F59" s="255"/>
      <c r="G59" s="255"/>
      <c r="H59" s="98"/>
      <c r="I59" s="83"/>
      <c r="J59" s="56"/>
      <c r="K59" s="56"/>
      <c r="L59" s="56"/>
    </row>
    <row r="60" spans="1:12" ht="12.75">
      <c r="A60" s="54"/>
      <c r="B60" s="49"/>
      <c r="C60" s="260" t="s">
        <v>1156</v>
      </c>
      <c r="D60" s="144">
        <f>CHOOSE((D$8+1),CHOOSE((D$22+1),D$9^2,10,16,90,150),CHOOSE((D$22+1),D12*(D$33/F$33),0,0,90,150),D$9^2,D$9^2,D$9^2)*D44</f>
        <v>6.760000000000001</v>
      </c>
      <c r="E60" s="255"/>
      <c r="F60" s="255"/>
      <c r="G60" s="255"/>
      <c r="H60" s="98"/>
      <c r="I60" s="83"/>
      <c r="J60" s="56"/>
      <c r="K60" s="56"/>
      <c r="L60" s="56"/>
    </row>
    <row r="61" spans="1:12" ht="12.75">
      <c r="A61" s="54"/>
      <c r="B61" s="49"/>
      <c r="C61" s="260" t="s">
        <v>1157</v>
      </c>
      <c r="D61" s="144">
        <f>G55+(G41*D44)</f>
        <v>55.88885555555556</v>
      </c>
      <c r="E61" s="255"/>
      <c r="F61" s="255"/>
      <c r="G61" s="255"/>
      <c r="H61" s="98"/>
      <c r="I61" s="83"/>
      <c r="J61" s="56"/>
      <c r="K61" s="56"/>
      <c r="L61" s="56"/>
    </row>
    <row r="62" spans="1:12" ht="12.75">
      <c r="A62" s="54"/>
      <c r="B62" s="49"/>
      <c r="C62" s="260" t="s">
        <v>1158</v>
      </c>
      <c r="D62" s="116">
        <f>H55+(H41*D44)</f>
        <v>35.71087166338267</v>
      </c>
      <c r="E62" s="255"/>
      <c r="F62" s="255"/>
      <c r="G62" s="255"/>
      <c r="H62" s="98"/>
      <c r="I62" s="83"/>
      <c r="J62" s="56"/>
      <c r="K62" s="56"/>
      <c r="L62" s="56"/>
    </row>
    <row r="63" spans="1:12" ht="12.75">
      <c r="A63" s="54"/>
      <c r="B63" s="49"/>
      <c r="C63" s="261" t="s">
        <v>1159</v>
      </c>
      <c r="D63" s="146">
        <v>1</v>
      </c>
      <c r="E63" s="255"/>
      <c r="F63" s="255"/>
      <c r="G63" s="255"/>
      <c r="H63" s="98"/>
      <c r="I63" s="83"/>
      <c r="J63" s="56"/>
      <c r="K63" s="56"/>
      <c r="L63" s="56"/>
    </row>
    <row r="64" spans="1:12" ht="12.75">
      <c r="A64" s="54"/>
      <c r="B64" s="259"/>
      <c r="C64" s="256"/>
      <c r="D64" s="256"/>
      <c r="E64" s="256"/>
      <c r="F64" s="256"/>
      <c r="G64" s="256"/>
      <c r="H64" s="143"/>
      <c r="I64" s="258"/>
      <c r="J64" s="56"/>
      <c r="K64" s="56"/>
      <c r="L64" s="56"/>
    </row>
    <row r="65" spans="1:12" ht="12.75">
      <c r="A65" s="54"/>
      <c r="B65" s="54"/>
      <c r="C65" s="56"/>
      <c r="D65" s="56"/>
      <c r="E65" s="56"/>
      <c r="F65" s="56"/>
      <c r="G65" s="56"/>
      <c r="H65" s="244"/>
      <c r="I65" s="56"/>
      <c r="J65" s="56"/>
      <c r="K65" s="56"/>
      <c r="L65" s="56"/>
    </row>
    <row r="66" spans="1:12" ht="12.75">
      <c r="A66" s="54"/>
      <c r="B66" s="54"/>
      <c r="C66" s="56"/>
      <c r="D66" s="56"/>
      <c r="E66" s="56"/>
      <c r="F66" s="56"/>
      <c r="G66" s="56"/>
      <c r="H66" s="244"/>
      <c r="I66" s="56"/>
      <c r="J66" s="56"/>
      <c r="K66" s="56"/>
      <c r="L66" s="56"/>
    </row>
    <row r="67" spans="1:12" ht="12.75">
      <c r="A67" s="54"/>
      <c r="B67" s="54"/>
      <c r="C67" s="56"/>
      <c r="D67" s="56"/>
      <c r="E67" s="56"/>
      <c r="F67" s="56"/>
      <c r="G67" s="56"/>
      <c r="H67" s="244"/>
      <c r="I67" s="56"/>
      <c r="J67" s="56"/>
      <c r="K67" s="56"/>
      <c r="L67" s="56"/>
    </row>
    <row r="68" spans="1:12" ht="12.75">
      <c r="A68" s="54"/>
      <c r="B68" s="54"/>
      <c r="C68" s="56"/>
      <c r="D68" s="56"/>
      <c r="E68" s="56"/>
      <c r="F68" s="56"/>
      <c r="G68" s="56"/>
      <c r="H68" s="244"/>
      <c r="I68" s="56"/>
      <c r="J68" s="56"/>
      <c r="K68" s="56"/>
      <c r="L68" s="56"/>
    </row>
    <row r="69" spans="1:12" ht="12.75">
      <c r="A69" s="54"/>
      <c r="B69" s="54"/>
      <c r="C69" s="56"/>
      <c r="D69" s="56"/>
      <c r="E69" s="56"/>
      <c r="F69" s="56"/>
      <c r="G69" s="56"/>
      <c r="H69" s="244"/>
      <c r="I69" s="56"/>
      <c r="J69" s="56"/>
      <c r="K69" s="56"/>
      <c r="L69" s="56"/>
    </row>
    <row r="70" spans="1:12" ht="12.75">
      <c r="A70" s="54"/>
      <c r="B70" s="54"/>
      <c r="C70" s="56"/>
      <c r="D70" s="56"/>
      <c r="E70" s="56"/>
      <c r="F70" s="56"/>
      <c r="G70" s="56"/>
      <c r="H70" s="244"/>
      <c r="I70" s="56"/>
      <c r="J70" s="56"/>
      <c r="K70" s="56"/>
      <c r="L70" s="56"/>
    </row>
    <row r="71" spans="1:12" ht="12.75">
      <c r="A71" s="54"/>
      <c r="B71" s="54"/>
      <c r="C71" s="56"/>
      <c r="D71" s="56"/>
      <c r="E71" s="56"/>
      <c r="F71" s="56"/>
      <c r="G71" s="56"/>
      <c r="H71" s="244"/>
      <c r="I71" s="56"/>
      <c r="J71" s="56"/>
      <c r="K71" s="56"/>
      <c r="L71" s="56"/>
    </row>
    <row r="72" spans="1:12" ht="12.75">
      <c r="A72" s="54"/>
      <c r="B72" s="54"/>
      <c r="C72" s="56"/>
      <c r="D72" s="56"/>
      <c r="E72" s="56"/>
      <c r="F72" s="56"/>
      <c r="G72" s="56"/>
      <c r="H72" s="244"/>
      <c r="I72" s="56"/>
      <c r="J72" s="56"/>
      <c r="K72" s="56"/>
      <c r="L72" s="56"/>
    </row>
    <row r="73" spans="1:12" ht="12.75">
      <c r="A73" s="54"/>
      <c r="B73" s="54"/>
      <c r="C73" s="56"/>
      <c r="D73" s="56"/>
      <c r="E73" s="56"/>
      <c r="F73" s="56"/>
      <c r="G73" s="56"/>
      <c r="H73" s="244"/>
      <c r="I73" s="56"/>
      <c r="J73" s="56"/>
      <c r="K73" s="56"/>
      <c r="L73" s="56"/>
    </row>
    <row r="74" spans="1:12" ht="12.75">
      <c r="A74" s="54"/>
      <c r="B74" s="54"/>
      <c r="C74" s="56"/>
      <c r="D74" s="56"/>
      <c r="E74" s="56"/>
      <c r="F74" s="56"/>
      <c r="G74" s="56"/>
      <c r="H74" s="244"/>
      <c r="I74" s="56"/>
      <c r="J74" s="56"/>
      <c r="K74" s="56"/>
      <c r="L74" s="56"/>
    </row>
    <row r="75" spans="1:12" ht="12.75">
      <c r="A75" s="54"/>
      <c r="B75" s="54"/>
      <c r="C75" s="56"/>
      <c r="D75" s="56"/>
      <c r="E75" s="56"/>
      <c r="F75" s="56"/>
      <c r="G75" s="56"/>
      <c r="H75" s="244"/>
      <c r="I75" s="56"/>
      <c r="J75" s="56"/>
      <c r="K75" s="56"/>
      <c r="L75" s="56"/>
    </row>
    <row r="76" spans="1:12" ht="12.75">
      <c r="A76" s="54"/>
      <c r="B76" s="54"/>
      <c r="C76" s="56"/>
      <c r="D76" s="56"/>
      <c r="E76" s="56"/>
      <c r="F76" s="56"/>
      <c r="G76" s="56"/>
      <c r="H76" s="244"/>
      <c r="I76" s="56"/>
      <c r="J76" s="56"/>
      <c r="K76" s="56"/>
      <c r="L76" s="56"/>
    </row>
    <row r="77" spans="1:12" ht="12.75">
      <c r="A77" s="54"/>
      <c r="B77" s="54"/>
      <c r="C77" s="56"/>
      <c r="D77" s="56"/>
      <c r="E77" s="56"/>
      <c r="F77" s="56"/>
      <c r="G77" s="56"/>
      <c r="H77" s="244"/>
      <c r="I77" s="56"/>
      <c r="J77" s="56"/>
      <c r="K77" s="56"/>
      <c r="L77" s="56"/>
    </row>
    <row r="78" spans="1:12" ht="12.75">
      <c r="A78" s="54"/>
      <c r="B78" s="54"/>
      <c r="C78" s="56"/>
      <c r="D78" s="56"/>
      <c r="E78" s="56"/>
      <c r="F78" s="56"/>
      <c r="G78" s="56"/>
      <c r="H78" s="244"/>
      <c r="I78" s="56"/>
      <c r="J78" s="56"/>
      <c r="K78" s="56"/>
      <c r="L78" s="56"/>
    </row>
    <row r="79" spans="1:12" ht="12.75">
      <c r="A79" s="54"/>
      <c r="B79" s="54"/>
      <c r="C79" s="56"/>
      <c r="D79" s="56"/>
      <c r="E79" s="56"/>
      <c r="F79" s="56"/>
      <c r="G79" s="56"/>
      <c r="H79" s="244"/>
      <c r="I79" s="56"/>
      <c r="J79" s="56"/>
      <c r="K79" s="56"/>
      <c r="L79" s="56"/>
    </row>
    <row r="80" spans="1:12" ht="12.75">
      <c r="A80" s="54"/>
      <c r="B80" s="54"/>
      <c r="C80" s="56"/>
      <c r="D80" s="56"/>
      <c r="E80" s="56"/>
      <c r="F80" s="56"/>
      <c r="G80" s="56"/>
      <c r="H80" s="244"/>
      <c r="I80" s="56"/>
      <c r="J80" s="56"/>
      <c r="K80" s="56"/>
      <c r="L80" s="56"/>
    </row>
    <row r="81" spans="1:12" ht="12.75">
      <c r="A81" s="54"/>
      <c r="B81" s="54"/>
      <c r="C81" s="56"/>
      <c r="D81" s="56"/>
      <c r="E81" s="56"/>
      <c r="F81" s="56"/>
      <c r="G81" s="56"/>
      <c r="H81" s="244"/>
      <c r="I81" s="56"/>
      <c r="J81" s="56"/>
      <c r="K81" s="56"/>
      <c r="L81" s="56"/>
    </row>
    <row r="82" spans="1:12" ht="12.75">
      <c r="A82" s="54"/>
      <c r="B82" s="54"/>
      <c r="C82" s="56"/>
      <c r="D82" s="56"/>
      <c r="E82" s="56"/>
      <c r="F82" s="56"/>
      <c r="G82" s="56"/>
      <c r="H82" s="244"/>
      <c r="I82" s="56"/>
      <c r="J82" s="56"/>
      <c r="K82" s="56"/>
      <c r="L82" s="56"/>
    </row>
    <row r="83" spans="1:12" ht="12.75">
      <c r="A83" s="54"/>
      <c r="B83" s="54"/>
      <c r="C83" s="56"/>
      <c r="D83" s="56"/>
      <c r="E83" s="56"/>
      <c r="F83" s="56"/>
      <c r="G83" s="56"/>
      <c r="H83" s="244"/>
      <c r="I83" s="56"/>
      <c r="J83" s="56"/>
      <c r="K83" s="56"/>
      <c r="L83" s="56"/>
    </row>
    <row r="84" spans="1:12" ht="12.75">
      <c r="A84" s="54"/>
      <c r="B84" s="54"/>
      <c r="C84" s="56"/>
      <c r="D84" s="56"/>
      <c r="E84" s="56"/>
      <c r="F84" s="56"/>
      <c r="G84" s="56"/>
      <c r="H84" s="244"/>
      <c r="I84" s="56"/>
      <c r="J84" s="56"/>
      <c r="K84" s="56"/>
      <c r="L84" s="56"/>
    </row>
    <row r="85" spans="1:12" ht="12.75">
      <c r="A85" s="54"/>
      <c r="B85" s="54"/>
      <c r="C85" s="56"/>
      <c r="D85" s="56"/>
      <c r="E85" s="56"/>
      <c r="F85" s="56"/>
      <c r="G85" s="56"/>
      <c r="H85" s="244"/>
      <c r="I85" s="56"/>
      <c r="J85" s="56"/>
      <c r="K85" s="56"/>
      <c r="L85" s="56"/>
    </row>
    <row r="86" spans="1:12" ht="12.75">
      <c r="A86" s="54"/>
      <c r="B86" s="54"/>
      <c r="C86" s="56"/>
      <c r="D86" s="56"/>
      <c r="E86" s="56"/>
      <c r="F86" s="56"/>
      <c r="G86" s="56"/>
      <c r="H86" s="244"/>
      <c r="I86" s="56"/>
      <c r="J86" s="56"/>
      <c r="K86" s="56"/>
      <c r="L86" s="56"/>
    </row>
    <row r="87" spans="1:12" ht="12.75">
      <c r="A87" s="54"/>
      <c r="B87" s="54"/>
      <c r="C87" s="56"/>
      <c r="D87" s="56"/>
      <c r="E87" s="56"/>
      <c r="F87" s="56"/>
      <c r="G87" s="56"/>
      <c r="H87" s="244"/>
      <c r="I87" s="56"/>
      <c r="J87" s="56"/>
      <c r="K87" s="56"/>
      <c r="L87" s="56"/>
    </row>
    <row r="88" spans="1:12" ht="12.75">
      <c r="A88" s="54"/>
      <c r="B88" s="54"/>
      <c r="C88" s="56"/>
      <c r="D88" s="56"/>
      <c r="E88" s="56"/>
      <c r="F88" s="56"/>
      <c r="G88" s="56"/>
      <c r="H88" s="244"/>
      <c r="I88" s="56"/>
      <c r="J88" s="56"/>
      <c r="K88" s="56"/>
      <c r="L88" s="56"/>
    </row>
    <row r="89" spans="1:12" ht="12.75">
      <c r="A89" s="54"/>
      <c r="B89" s="54"/>
      <c r="C89" s="56"/>
      <c r="D89" s="56"/>
      <c r="E89" s="56"/>
      <c r="F89" s="56"/>
      <c r="G89" s="56"/>
      <c r="H89" s="244"/>
      <c r="I89" s="56"/>
      <c r="J89" s="56"/>
      <c r="K89" s="56"/>
      <c r="L89" s="56"/>
    </row>
    <row r="90" spans="1:12" ht="12.75">
      <c r="A90" s="54"/>
      <c r="B90" s="54"/>
      <c r="C90" s="56"/>
      <c r="D90" s="56"/>
      <c r="E90" s="56"/>
      <c r="F90" s="56"/>
      <c r="G90" s="56"/>
      <c r="H90" s="244"/>
      <c r="I90" s="56"/>
      <c r="J90" s="56"/>
      <c r="K90" s="56"/>
      <c r="L90" s="56"/>
    </row>
    <row r="91" spans="1:12" ht="12.75">
      <c r="A91" s="54"/>
      <c r="B91" s="54"/>
      <c r="C91" s="56"/>
      <c r="D91" s="56"/>
      <c r="E91" s="56"/>
      <c r="F91" s="56"/>
      <c r="G91" s="56"/>
      <c r="H91" s="244"/>
      <c r="I91" s="56"/>
      <c r="J91" s="56"/>
      <c r="K91" s="56"/>
      <c r="L91" s="56"/>
    </row>
    <row r="92" spans="1:12" ht="12.75">
      <c r="A92" s="54"/>
      <c r="B92" s="54"/>
      <c r="C92" s="56"/>
      <c r="D92" s="56"/>
      <c r="E92" s="56"/>
      <c r="F92" s="56"/>
      <c r="G92" s="56"/>
      <c r="H92" s="244"/>
      <c r="I92" s="56"/>
      <c r="J92" s="56"/>
      <c r="K92" s="56"/>
      <c r="L92" s="56"/>
    </row>
    <row r="93" spans="1:12" ht="12.75">
      <c r="A93" s="54"/>
      <c r="B93" s="54"/>
      <c r="C93" s="56"/>
      <c r="D93" s="56"/>
      <c r="E93" s="56"/>
      <c r="F93" s="56"/>
      <c r="G93" s="56"/>
      <c r="H93" s="244"/>
      <c r="I93" s="56"/>
      <c r="J93" s="56"/>
      <c r="K93" s="56"/>
      <c r="L93" s="56"/>
    </row>
    <row r="94" spans="1:12" ht="12.75">
      <c r="A94" s="54"/>
      <c r="B94" s="54"/>
      <c r="C94" s="56"/>
      <c r="D94" s="56"/>
      <c r="E94" s="56"/>
      <c r="F94" s="56"/>
      <c r="G94" s="56"/>
      <c r="H94" s="244"/>
      <c r="I94" s="56"/>
      <c r="J94" s="56"/>
      <c r="K94" s="56"/>
      <c r="L94" s="56"/>
    </row>
    <row r="95" spans="1:12" ht="12.75">
      <c r="A95" s="54"/>
      <c r="B95" s="54"/>
      <c r="C95" s="56"/>
      <c r="D95" s="56"/>
      <c r="E95" s="56"/>
      <c r="F95" s="56"/>
      <c r="G95" s="56"/>
      <c r="H95" s="244"/>
      <c r="I95" s="56"/>
      <c r="J95" s="56"/>
      <c r="K95" s="56"/>
      <c r="L95" s="56"/>
    </row>
    <row r="96" spans="1:12" ht="12.75">
      <c r="A96" s="54"/>
      <c r="B96" s="54"/>
      <c r="C96" s="56"/>
      <c r="D96" s="56"/>
      <c r="E96" s="56"/>
      <c r="F96" s="56"/>
      <c r="G96" s="56"/>
      <c r="H96" s="244"/>
      <c r="I96" s="56"/>
      <c r="J96" s="56"/>
      <c r="K96" s="56"/>
      <c r="L96" s="56"/>
    </row>
    <row r="97" spans="1:12" ht="12.75">
      <c r="A97" s="54"/>
      <c r="B97" s="54"/>
      <c r="C97" s="56"/>
      <c r="D97" s="56"/>
      <c r="E97" s="56"/>
      <c r="F97" s="56"/>
      <c r="G97" s="56"/>
      <c r="H97" s="244"/>
      <c r="I97" s="56"/>
      <c r="J97" s="56"/>
      <c r="K97" s="56"/>
      <c r="L97" s="56"/>
    </row>
    <row r="98" spans="1:12" ht="12.75">
      <c r="A98" s="54"/>
      <c r="B98" s="54"/>
      <c r="C98" s="56"/>
      <c r="D98" s="56"/>
      <c r="E98" s="56"/>
      <c r="F98" s="56"/>
      <c r="G98" s="56"/>
      <c r="H98" s="244"/>
      <c r="I98" s="56"/>
      <c r="J98" s="56"/>
      <c r="K98" s="56"/>
      <c r="L98" s="56"/>
    </row>
    <row r="99" spans="1:12" ht="12.75">
      <c r="A99" s="54"/>
      <c r="B99" s="54"/>
      <c r="C99" s="56"/>
      <c r="D99" s="56"/>
      <c r="E99" s="56"/>
      <c r="F99" s="56"/>
      <c r="G99" s="56"/>
      <c r="H99" s="244"/>
      <c r="I99" s="56"/>
      <c r="J99" s="56"/>
      <c r="K99" s="56"/>
      <c r="L99" s="56"/>
    </row>
    <row r="100" spans="1:12" ht="12.75">
      <c r="A100" s="54"/>
      <c r="B100" s="54"/>
      <c r="C100" s="56"/>
      <c r="D100" s="56"/>
      <c r="E100" s="56"/>
      <c r="F100" s="56"/>
      <c r="G100" s="56"/>
      <c r="H100" s="244"/>
      <c r="I100" s="56"/>
      <c r="J100" s="56"/>
      <c r="K100" s="56"/>
      <c r="L100" s="56"/>
    </row>
    <row r="101" spans="1:12" ht="12.75">
      <c r="A101" s="54"/>
      <c r="B101" s="54"/>
      <c r="C101" s="56"/>
      <c r="D101" s="56"/>
      <c r="E101" s="56"/>
      <c r="F101" s="56"/>
      <c r="G101" s="56"/>
      <c r="H101" s="244"/>
      <c r="I101" s="56"/>
      <c r="J101" s="56"/>
      <c r="K101" s="56"/>
      <c r="L101" s="56"/>
    </row>
    <row r="102" spans="1:12" ht="12.75">
      <c r="A102" s="54"/>
      <c r="B102" s="54"/>
      <c r="C102" s="56"/>
      <c r="D102" s="56"/>
      <c r="E102" s="56"/>
      <c r="F102" s="56"/>
      <c r="G102" s="56"/>
      <c r="H102" s="244"/>
      <c r="I102" s="56"/>
      <c r="J102" s="56"/>
      <c r="K102" s="56"/>
      <c r="L102" s="56"/>
    </row>
    <row r="103" spans="1:12" ht="12.75">
      <c r="A103" s="54"/>
      <c r="B103" s="54"/>
      <c r="C103" s="56"/>
      <c r="D103" s="56"/>
      <c r="E103" s="56"/>
      <c r="F103" s="56"/>
      <c r="G103" s="56"/>
      <c r="H103" s="244"/>
      <c r="I103" s="56"/>
      <c r="J103" s="56"/>
      <c r="K103" s="56"/>
      <c r="L103" s="56"/>
    </row>
    <row r="104" spans="1:12" ht="12.75">
      <c r="A104" s="54"/>
      <c r="B104" s="54"/>
      <c r="C104" s="56"/>
      <c r="D104" s="56"/>
      <c r="E104" s="56"/>
      <c r="F104" s="56"/>
      <c r="G104" s="56"/>
      <c r="H104" s="244"/>
      <c r="I104" s="56"/>
      <c r="J104" s="56"/>
      <c r="K104" s="56"/>
      <c r="L104" s="56"/>
    </row>
    <row r="105" spans="1:12" ht="12.75">
      <c r="A105" s="54"/>
      <c r="B105" s="54"/>
      <c r="C105" s="56"/>
      <c r="D105" s="56"/>
      <c r="E105" s="56"/>
      <c r="F105" s="56"/>
      <c r="G105" s="56"/>
      <c r="H105" s="244"/>
      <c r="I105" s="56"/>
      <c r="J105" s="56"/>
      <c r="K105" s="56"/>
      <c r="L105" s="56"/>
    </row>
    <row r="106" spans="1:12" ht="12.75">
      <c r="A106" s="54"/>
      <c r="B106" s="54"/>
      <c r="C106" s="56"/>
      <c r="D106" s="56"/>
      <c r="E106" s="56"/>
      <c r="F106" s="56"/>
      <c r="G106" s="56"/>
      <c r="H106" s="244"/>
      <c r="I106" s="56"/>
      <c r="J106" s="56"/>
      <c r="K106" s="56"/>
      <c r="L106" s="56"/>
    </row>
    <row r="107" spans="1:12" ht="12.75">
      <c r="A107" s="54"/>
      <c r="B107" s="54"/>
      <c r="C107" s="56"/>
      <c r="D107" s="56"/>
      <c r="E107" s="56"/>
      <c r="F107" s="56"/>
      <c r="G107" s="56"/>
      <c r="H107" s="244"/>
      <c r="I107" s="56"/>
      <c r="J107" s="56"/>
      <c r="K107" s="56"/>
      <c r="L107" s="56"/>
    </row>
    <row r="108" spans="1:12" ht="12.75">
      <c r="A108" s="54"/>
      <c r="B108" s="54"/>
      <c r="C108" s="56"/>
      <c r="D108" s="56"/>
      <c r="E108" s="56"/>
      <c r="F108" s="56"/>
      <c r="G108" s="56"/>
      <c r="H108" s="244"/>
      <c r="I108" s="56"/>
      <c r="J108" s="56"/>
      <c r="K108" s="56"/>
      <c r="L108" s="56"/>
    </row>
    <row r="109" spans="1:12" ht="12.75">
      <c r="A109" s="54"/>
      <c r="B109" s="54"/>
      <c r="C109" s="56"/>
      <c r="D109" s="56"/>
      <c r="E109" s="56"/>
      <c r="F109" s="56"/>
      <c r="G109" s="56"/>
      <c r="H109" s="244"/>
      <c r="I109" s="56"/>
      <c r="J109" s="56"/>
      <c r="K109" s="56"/>
      <c r="L109" s="56"/>
    </row>
    <row r="110" spans="1:12" ht="12.75">
      <c r="A110" s="54"/>
      <c r="B110" s="54"/>
      <c r="C110" s="56"/>
      <c r="D110" s="56"/>
      <c r="E110" s="56"/>
      <c r="F110" s="56"/>
      <c r="G110" s="56"/>
      <c r="H110" s="244"/>
      <c r="I110" s="56"/>
      <c r="J110" s="56"/>
      <c r="K110" s="56"/>
      <c r="L110" s="56"/>
    </row>
    <row r="111" spans="1:12" ht="12.75">
      <c r="A111" s="54"/>
      <c r="B111" s="54"/>
      <c r="C111" s="56"/>
      <c r="D111" s="56"/>
      <c r="E111" s="56"/>
      <c r="F111" s="56"/>
      <c r="G111" s="56"/>
      <c r="H111" s="244"/>
      <c r="I111" s="56"/>
      <c r="J111" s="56"/>
      <c r="K111" s="56"/>
      <c r="L111" s="56"/>
    </row>
    <row r="112" spans="1:12" ht="12.75">
      <c r="A112" s="54"/>
      <c r="B112" s="54"/>
      <c r="C112" s="56"/>
      <c r="D112" s="56"/>
      <c r="E112" s="56"/>
      <c r="F112" s="56"/>
      <c r="G112" s="56"/>
      <c r="H112" s="244"/>
      <c r="I112" s="56"/>
      <c r="J112" s="56"/>
      <c r="K112" s="56"/>
      <c r="L112" s="56"/>
    </row>
    <row r="113" spans="1:12" ht="12.75">
      <c r="A113" s="54"/>
      <c r="B113" s="54"/>
      <c r="C113" s="56"/>
      <c r="D113" s="56"/>
      <c r="E113" s="56"/>
      <c r="F113" s="56"/>
      <c r="G113" s="56"/>
      <c r="H113" s="244"/>
      <c r="I113" s="56"/>
      <c r="J113" s="56"/>
      <c r="K113" s="56"/>
      <c r="L113" s="56"/>
    </row>
    <row r="114" spans="1:12" ht="12.75">
      <c r="A114" s="54"/>
      <c r="B114" s="54"/>
      <c r="C114" s="56"/>
      <c r="D114" s="56"/>
      <c r="E114" s="56"/>
      <c r="F114" s="56"/>
      <c r="G114" s="56"/>
      <c r="H114" s="244"/>
      <c r="I114" s="56"/>
      <c r="J114" s="56"/>
      <c r="K114" s="56"/>
      <c r="L114" s="56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Akins</cp:lastModifiedBy>
  <dcterms:created xsi:type="dcterms:W3CDTF">1998-07-16T13:15:37Z</dcterms:created>
  <dcterms:modified xsi:type="dcterms:W3CDTF">2000-02-15T19:29:44Z</dcterms:modified>
  <cp:category/>
  <cp:version/>
  <cp:contentType/>
  <cp:contentStatus/>
</cp:coreProperties>
</file>